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24226"/>
  <mc:AlternateContent xmlns:mc="http://schemas.openxmlformats.org/markup-compatibility/2006">
    <mc:Choice Requires="x15">
      <x15ac:absPath xmlns:x15ac="http://schemas.microsoft.com/office/spreadsheetml/2010/11/ac" url="D:\F.Y.2079-80\2079-80 Progress\"/>
    </mc:Choice>
  </mc:AlternateContent>
  <xr:revisionPtr revIDLastSave="0" documentId="13_ncr:1_{7AFEE390-880F-459D-8EAF-BF45A9D25057}" xr6:coauthVersionLast="36" xr6:coauthVersionMax="47" xr10:uidLastSave="{00000000-0000-0000-0000-000000000000}"/>
  <bookViews>
    <workbookView xWindow="-105" yWindow="-105" windowWidth="23250" windowHeight="12570" firstSheet="15" activeTab="15" xr2:uid="{00000000-000D-0000-FFFF-FFFF00000000}"/>
  </bookViews>
  <sheets>
    <sheet name="एकिकृत बिवरण" sheetId="120" state="hidden" r:id="rId1"/>
    <sheet name="337001204" sheetId="123" state="hidden" r:id="rId2"/>
    <sheet name="337030114" sheetId="124" state="hidden" r:id="rId3"/>
    <sheet name="वार्षिक प्रगती प्रदेश ०७६। ०७७" sheetId="126" state="hidden" r:id="rId4"/>
    <sheet name="वार्षिक प्रगती संघ " sheetId="128" state="hidden" r:id="rId5"/>
    <sheet name="तेश्रो प्रगती संघ" sheetId="127" state="hidden" r:id="rId6"/>
    <sheet name="1st qtr progress" sheetId="125" state="hidden" r:id="rId7"/>
    <sheet name="1st qtr progress (Final)" sheetId="132" state="hidden" r:id="rId8"/>
    <sheet name="2nd qtr progress" sheetId="133" state="hidden" r:id="rId9"/>
    <sheet name="3rd and Final Progress  (MIP)" sheetId="138" state="hidden" r:id="rId10"/>
    <sheet name="3rd and Final Progress  (NITP)" sheetId="139" state="hidden" r:id="rId11"/>
    <sheet name="3rd and Final Progress  (Rpair)" sheetId="140" state="hidden" r:id="rId12"/>
    <sheet name="3rd and Final Progress  (Nadi)" sheetId="137" state="hidden" r:id="rId13"/>
    <sheet name="3rd and Final Progress  (Pahir)" sheetId="141" state="hidden" r:id="rId14"/>
    <sheet name="Work order " sheetId="131" state="hidden" r:id="rId15"/>
    <sheet name="4th Trimester Progress(Pradesh " sheetId="134" r:id="rId16"/>
    <sheet name="4th Trimester Progress(Sangh)" sheetId="142" r:id="rId17"/>
    <sheet name="Sheet2" sheetId="130" state="hidden" r:id="rId18"/>
    <sheet name="Sheet1" sheetId="135" state="hidden" r:id="rId19"/>
    <sheet name="2nd Trimester Progress(Prad (2)" sheetId="143" state="hidden" r:id="rId20"/>
    <sheet name="2nd Trimester Progress(Sang (2)" sheetId="144" state="hidden" r:id="rId21"/>
  </sheets>
  <externalReferences>
    <externalReference r:id="rId22"/>
    <externalReference r:id="rId23"/>
  </externalReferences>
  <definedNames>
    <definedName name="_xlnm._FilterDatabase" localSheetId="1" hidden="1">'337001204'!#REF!</definedName>
    <definedName name="_xlnm._FilterDatabase" localSheetId="2" hidden="1">'337030114'!#REF!</definedName>
    <definedName name="_xlnm._FilterDatabase" localSheetId="9" hidden="1">'3rd and Final Progress  (MIP)'!$AM$1:$AM$165</definedName>
    <definedName name="_xlnm._FilterDatabase" localSheetId="12" hidden="1">'3rd and Final Progress  (Nadi)'!$AM$1:$AM$165</definedName>
    <definedName name="_xlnm._FilterDatabase" localSheetId="10" hidden="1">'3rd and Final Progress  (NITP)'!$AM$1:$AM$165</definedName>
    <definedName name="_xlnm._FilterDatabase" localSheetId="13" hidden="1">'3rd and Final Progress  (Pahir)'!$AM$1:$AM$165</definedName>
    <definedName name="_xlnm._FilterDatabase" localSheetId="11" hidden="1">'3rd and Final Progress  (Rpair)'!$AM$1:$AM$165</definedName>
    <definedName name="_xlnm._FilterDatabase" localSheetId="18" hidden="1">Sheet1!$B$1:$B$6</definedName>
    <definedName name="_xlnm._FilterDatabase" localSheetId="0" hidden="1">'एकिकृत बिवरण'!#REF!</definedName>
    <definedName name="_xlnm.Print_Area" localSheetId="6">'1st qtr progress'!$A$1:$AI$139</definedName>
    <definedName name="_xlnm.Print_Area" localSheetId="7">'1st qtr progress (Final)'!$A$1:$AK$141</definedName>
    <definedName name="_xlnm.Print_Area" localSheetId="8">'2nd qtr progress'!$A$1:$AK$141</definedName>
    <definedName name="_xlnm.Print_Area" localSheetId="19">'2nd Trimester Progress(Prad (2)'!$A$1:$D$198</definedName>
    <definedName name="_xlnm.Print_Area" localSheetId="20">'2nd Trimester Progress(Sang (2)'!$A$1:$D$52</definedName>
    <definedName name="_xlnm.Print_Area" localSheetId="9">'3rd and Final Progress  (MIP)'!$A$1:$AL$166</definedName>
    <definedName name="_xlnm.Print_Area" localSheetId="12">'3rd and Final Progress  (Nadi)'!$A$1:$AL$166</definedName>
    <definedName name="_xlnm.Print_Area" localSheetId="10">'3rd and Final Progress  (NITP)'!$A$1:$AL$166</definedName>
    <definedName name="_xlnm.Print_Area" localSheetId="13">'3rd and Final Progress  (Pahir)'!$A$1:$AL$166</definedName>
    <definedName name="_xlnm.Print_Area" localSheetId="11">'3rd and Final Progress  (Rpair)'!$A$1:$AL$166</definedName>
    <definedName name="_xlnm.Print_Area" localSheetId="15">'4th Trimester Progress(Pradesh '!$A$1:$AT$198</definedName>
    <definedName name="_xlnm.Print_Area" localSheetId="16">'4th Trimester Progress(Sangh)'!$A$1:$AT$79</definedName>
    <definedName name="_xlnm.Print_Area" localSheetId="14">'Work order '!$A$1:$E$101</definedName>
    <definedName name="_xlnm.Print_Area" localSheetId="3">'वार्षिक प्रगती प्रदेश ०७६। ०७७'!$A$1:$AB$151</definedName>
    <definedName name="_xlnm.Print_Titles" localSheetId="6">'1st qtr progress'!$17:$19</definedName>
    <definedName name="_xlnm.Print_Titles" localSheetId="7">'1st qtr progress (Final)'!$19:$21</definedName>
    <definedName name="_xlnm.Print_Titles" localSheetId="8">'2nd qtr progress'!$19:$21</definedName>
    <definedName name="_xlnm.Print_Titles" localSheetId="19">'2nd Trimester Progress(Prad (2)'!$19:$21</definedName>
    <definedName name="_xlnm.Print_Titles" localSheetId="20">'2nd Trimester Progress(Sang (2)'!$19:$21</definedName>
    <definedName name="_xlnm.Print_Titles" localSheetId="1">'337001204'!$2:$8</definedName>
    <definedName name="_xlnm.Print_Titles" localSheetId="9">'3rd and Final Progress  (MIP)'!$19:$21</definedName>
    <definedName name="_xlnm.Print_Titles" localSheetId="12">'3rd and Final Progress  (Nadi)'!$19:$21</definedName>
    <definedName name="_xlnm.Print_Titles" localSheetId="10">'3rd and Final Progress  (NITP)'!$19:$21</definedName>
    <definedName name="_xlnm.Print_Titles" localSheetId="13">'3rd and Final Progress  (Pahir)'!$19:$21</definedName>
    <definedName name="_xlnm.Print_Titles" localSheetId="11">'3rd and Final Progress  (Rpair)'!$19:$21</definedName>
    <definedName name="_xlnm.Print_Titles" localSheetId="15">'4th Trimester Progress(Pradesh '!$19:$21</definedName>
    <definedName name="_xlnm.Print_Titles" localSheetId="16">'4th Trimester Progress(Sangh)'!$19:$21</definedName>
    <definedName name="_xlnm.Print_Titles" localSheetId="3">'वार्षिक प्रगती प्रदेश ०७६। ०७७'!$17:$19</definedName>
    <definedName name="_xlnm.Print_Titles" localSheetId="4">'वार्षिक प्रगती संघ '!$17:$19</definedName>
  </definedNames>
  <calcPr calcId="191029"/>
</workbook>
</file>

<file path=xl/calcChain.xml><?xml version="1.0" encoding="utf-8"?>
<calcChain xmlns="http://schemas.openxmlformats.org/spreadsheetml/2006/main">
  <c r="AB74" i="142" l="1"/>
  <c r="Z74" i="142"/>
  <c r="W74" i="142"/>
  <c r="R74" i="142"/>
  <c r="P74" i="142"/>
  <c r="O74" i="142"/>
  <c r="R25" i="142"/>
  <c r="R27" i="142"/>
  <c r="S27" i="142" s="1"/>
  <c r="R29" i="142"/>
  <c r="S29" i="142" s="1"/>
  <c r="R31" i="142"/>
  <c r="S31" i="142" s="1"/>
  <c r="R32" i="142"/>
  <c r="S32" i="142" s="1"/>
  <c r="R34" i="142"/>
  <c r="S34" i="142" s="1"/>
  <c r="R35" i="142"/>
  <c r="R36" i="142"/>
  <c r="S36" i="142" s="1"/>
  <c r="R37" i="142"/>
  <c r="S37" i="142"/>
  <c r="R38" i="142"/>
  <c r="S38" i="142" s="1"/>
  <c r="R39" i="142"/>
  <c r="S39" i="142" s="1"/>
  <c r="R41" i="142"/>
  <c r="S41" i="142"/>
  <c r="R42" i="142"/>
  <c r="S42" i="142" s="1"/>
  <c r="R43" i="142"/>
  <c r="S43" i="142" s="1"/>
  <c r="R44" i="142"/>
  <c r="S44" i="142" s="1"/>
  <c r="R45" i="142"/>
  <c r="S45" i="142"/>
  <c r="R46" i="142"/>
  <c r="S46" i="142" s="1"/>
  <c r="R47" i="142"/>
  <c r="S47" i="142" s="1"/>
  <c r="R48" i="142"/>
  <c r="S48" i="142" s="1"/>
  <c r="R49" i="142"/>
  <c r="S49" i="142"/>
  <c r="R50" i="142"/>
  <c r="S50" i="142" s="1"/>
  <c r="R51" i="142"/>
  <c r="S51" i="142" s="1"/>
  <c r="R52" i="142"/>
  <c r="S52" i="142" s="1"/>
  <c r="R53" i="142"/>
  <c r="S53" i="142"/>
  <c r="R54" i="142"/>
  <c r="S54" i="142" s="1"/>
  <c r="R55" i="142"/>
  <c r="S55" i="142" s="1"/>
  <c r="R56" i="142"/>
  <c r="S56" i="142" s="1"/>
  <c r="R57" i="142"/>
  <c r="S57" i="142"/>
  <c r="R58" i="142"/>
  <c r="S58" i="142" s="1"/>
  <c r="R59" i="142"/>
  <c r="S59" i="142" s="1"/>
  <c r="R60" i="142"/>
  <c r="S60" i="142" s="1"/>
  <c r="R61" i="142"/>
  <c r="S61" i="142"/>
  <c r="R62" i="142"/>
  <c r="S62" i="142" s="1"/>
  <c r="R63" i="142"/>
  <c r="S63" i="142" s="1"/>
  <c r="R65" i="142"/>
  <c r="S65" i="142" s="1"/>
  <c r="R66" i="142"/>
  <c r="S66" i="142"/>
  <c r="R67" i="142"/>
  <c r="S67" i="142" s="1"/>
  <c r="R68" i="142"/>
  <c r="S68" i="142" s="1"/>
  <c r="R69" i="142"/>
  <c r="S69" i="142" s="1"/>
  <c r="R71" i="142"/>
  <c r="S71" i="142"/>
  <c r="R72" i="142"/>
  <c r="S72" i="142" s="1"/>
  <c r="R73" i="142"/>
  <c r="S73" i="142" s="1"/>
  <c r="X199" i="134"/>
  <c r="V138" i="134"/>
  <c r="V139" i="134"/>
  <c r="V140" i="134"/>
  <c r="V141" i="134"/>
  <c r="V142" i="134"/>
  <c r="V143" i="134"/>
  <c r="V144" i="134"/>
  <c r="V145" i="134"/>
  <c r="V146" i="134"/>
  <c r="V147" i="134"/>
  <c r="V91" i="134"/>
  <c r="V92" i="134"/>
  <c r="V93" i="134"/>
  <c r="V94" i="134"/>
  <c r="V95" i="134"/>
  <c r="V96" i="134"/>
  <c r="V97" i="134"/>
  <c r="V98" i="134"/>
  <c r="V99" i="134"/>
  <c r="V100" i="134"/>
  <c r="V101" i="134"/>
  <c r="V102" i="134"/>
  <c r="V103" i="134"/>
  <c r="V104" i="134"/>
  <c r="V105" i="134"/>
  <c r="V106" i="134"/>
  <c r="V107" i="134"/>
  <c r="V108" i="134"/>
  <c r="V109" i="134"/>
  <c r="V110" i="134"/>
  <c r="V111" i="134"/>
  <c r="V112" i="134"/>
  <c r="V113" i="134"/>
  <c r="V114" i="134"/>
  <c r="V115" i="134"/>
  <c r="V116" i="134"/>
  <c r="V117" i="134"/>
  <c r="V118" i="134"/>
  <c r="V119" i="134"/>
  <c r="V120" i="134"/>
  <c r="V121" i="134"/>
  <c r="V122" i="134"/>
  <c r="V123" i="134"/>
  <c r="V124" i="134"/>
  <c r="V125" i="134"/>
  <c r="V126" i="134"/>
  <c r="V127" i="134"/>
  <c r="V128" i="134"/>
  <c r="V129" i="134"/>
  <c r="V130" i="134"/>
  <c r="V131" i="134"/>
  <c r="V132" i="134"/>
  <c r="V133" i="134"/>
  <c r="V24" i="134"/>
  <c r="V25" i="134"/>
  <c r="V26" i="134"/>
  <c r="V27" i="134"/>
  <c r="V28" i="134"/>
  <c r="V29" i="134"/>
  <c r="V30" i="134"/>
  <c r="V31" i="134"/>
  <c r="V32" i="134"/>
  <c r="V33" i="134"/>
  <c r="V34" i="134"/>
  <c r="V35" i="134"/>
  <c r="V36" i="134"/>
  <c r="V37" i="134"/>
  <c r="V38" i="134"/>
  <c r="V39" i="134"/>
  <c r="V40" i="134"/>
  <c r="V41" i="134"/>
  <c r="V42" i="134"/>
  <c r="V43" i="134"/>
  <c r="V44" i="134"/>
  <c r="V45" i="134"/>
  <c r="V46" i="134"/>
  <c r="V47" i="134"/>
  <c r="V48" i="134"/>
  <c r="V49" i="134"/>
  <c r="V50" i="134"/>
  <c r="V51" i="134"/>
  <c r="V52" i="134"/>
  <c r="V53" i="134"/>
  <c r="V54" i="134"/>
  <c r="V55" i="134"/>
  <c r="V56" i="134"/>
  <c r="V57" i="134"/>
  <c r="V58" i="134"/>
  <c r="V59" i="134"/>
  <c r="V60" i="134"/>
  <c r="V61" i="134"/>
  <c r="V62" i="134"/>
  <c r="V63" i="134"/>
  <c r="V64" i="134"/>
  <c r="V65" i="134"/>
  <c r="V66" i="134"/>
  <c r="V67" i="134"/>
  <c r="V68" i="134"/>
  <c r="V69" i="134"/>
  <c r="V70" i="134"/>
  <c r="V71" i="134"/>
  <c r="V72" i="134"/>
  <c r="V73" i="134"/>
  <c r="V74" i="134"/>
  <c r="V75" i="134"/>
  <c r="V76" i="134"/>
  <c r="V77" i="134"/>
  <c r="V78" i="134"/>
  <c r="V79" i="134"/>
  <c r="V80" i="134"/>
  <c r="V81" i="134"/>
  <c r="V82" i="134"/>
  <c r="V83" i="134"/>
  <c r="V84" i="134"/>
  <c r="V85" i="134"/>
  <c r="V86" i="134"/>
  <c r="V87" i="134"/>
  <c r="V88" i="134"/>
  <c r="U167" i="134"/>
  <c r="U168" i="134"/>
  <c r="U169" i="134"/>
  <c r="U170" i="134"/>
  <c r="U171" i="134"/>
  <c r="U172" i="134"/>
  <c r="U173" i="134"/>
  <c r="U174" i="134"/>
  <c r="U175" i="134"/>
  <c r="U176" i="134"/>
  <c r="U177" i="134"/>
  <c r="U178" i="134"/>
  <c r="U179" i="134"/>
  <c r="U180" i="134"/>
  <c r="U181" i="134"/>
  <c r="U182" i="134"/>
  <c r="U183" i="134"/>
  <c r="U184" i="134"/>
  <c r="U185" i="134"/>
  <c r="U186" i="134"/>
  <c r="U187" i="134"/>
  <c r="U188" i="134"/>
  <c r="U189" i="134"/>
  <c r="U190" i="134"/>
  <c r="U191" i="134"/>
  <c r="U192" i="134"/>
  <c r="U193" i="134"/>
  <c r="U194" i="134"/>
  <c r="U195" i="134"/>
  <c r="U196" i="134"/>
  <c r="U166" i="134"/>
  <c r="V170" i="134" l="1"/>
  <c r="AY175" i="134" l="1"/>
  <c r="AY176" i="134"/>
  <c r="AY182" i="134"/>
  <c r="AX167" i="134"/>
  <c r="AY167" i="134" s="1"/>
  <c r="AX168" i="134"/>
  <c r="AX169" i="134"/>
  <c r="AX170" i="134"/>
  <c r="AX171" i="134"/>
  <c r="AX172" i="134"/>
  <c r="AX173" i="134"/>
  <c r="AX174" i="134"/>
  <c r="AY174" i="134" s="1"/>
  <c r="AX175" i="134"/>
  <c r="AX176" i="134"/>
  <c r="AX177" i="134"/>
  <c r="AY177" i="134" s="1"/>
  <c r="AX178" i="134"/>
  <c r="AY178" i="134" s="1"/>
  <c r="AX179" i="134"/>
  <c r="AX180" i="134"/>
  <c r="AX181" i="134"/>
  <c r="AX182" i="134"/>
  <c r="AX183" i="134"/>
  <c r="AX184" i="134"/>
  <c r="AX185" i="134"/>
  <c r="AX186" i="134"/>
  <c r="AX187" i="134"/>
  <c r="AX188" i="134"/>
  <c r="AY188" i="134" s="1"/>
  <c r="AX189" i="134"/>
  <c r="AX190" i="134"/>
  <c r="AX191" i="134"/>
  <c r="AY191" i="134" s="1"/>
  <c r="AX192" i="134"/>
  <c r="AX193" i="134"/>
  <c r="AX194" i="134"/>
  <c r="AX195" i="134"/>
  <c r="AX196" i="134"/>
  <c r="AX166" i="134"/>
  <c r="AC41" i="142" l="1"/>
  <c r="AC42" i="142"/>
  <c r="AC43" i="142"/>
  <c r="AC44" i="142"/>
  <c r="AC45" i="142"/>
  <c r="AC46" i="142"/>
  <c r="AC47" i="142"/>
  <c r="AC48" i="142"/>
  <c r="AC49" i="142"/>
  <c r="AC50" i="142"/>
  <c r="AC51" i="142"/>
  <c r="AC52" i="142"/>
  <c r="AC53" i="142"/>
  <c r="AC54" i="142"/>
  <c r="AC55" i="142"/>
  <c r="AC56" i="142"/>
  <c r="AC57" i="142"/>
  <c r="AC58" i="142"/>
  <c r="AC59" i="142"/>
  <c r="AC60" i="142"/>
  <c r="AC61" i="142"/>
  <c r="AC62" i="142"/>
  <c r="AC63" i="142"/>
  <c r="AC65" i="142"/>
  <c r="AC66" i="142"/>
  <c r="AC67" i="142"/>
  <c r="AC68" i="142"/>
  <c r="AC69" i="142"/>
  <c r="AC71" i="142"/>
  <c r="AC72" i="142"/>
  <c r="AC73" i="142"/>
  <c r="AA41" i="142"/>
  <c r="AA48" i="142"/>
  <c r="AA49" i="142"/>
  <c r="AA65" i="142"/>
  <c r="AA66" i="142"/>
  <c r="AA67" i="142"/>
  <c r="AA68" i="142"/>
  <c r="AA69" i="142"/>
  <c r="AA73" i="142"/>
  <c r="Z41" i="142"/>
  <c r="Z42" i="142"/>
  <c r="AA42" i="142" s="1"/>
  <c r="Z43" i="142"/>
  <c r="AA43" i="142" s="1"/>
  <c r="Z44" i="142"/>
  <c r="AA44" i="142" s="1"/>
  <c r="Z45" i="142"/>
  <c r="AA45" i="142" s="1"/>
  <c r="Z46" i="142"/>
  <c r="AA46" i="142" s="1"/>
  <c r="Z47" i="142"/>
  <c r="AA47" i="142" s="1"/>
  <c r="Z48" i="142"/>
  <c r="Z49" i="142"/>
  <c r="Z50" i="142"/>
  <c r="AA50" i="142" s="1"/>
  <c r="Z51" i="142"/>
  <c r="AA51" i="142" s="1"/>
  <c r="Z52" i="142"/>
  <c r="AA52" i="142" s="1"/>
  <c r="Z53" i="142"/>
  <c r="AA53" i="142" s="1"/>
  <c r="Z54" i="142"/>
  <c r="AA54" i="142" s="1"/>
  <c r="Z55" i="142"/>
  <c r="AA55" i="142" s="1"/>
  <c r="Z56" i="142"/>
  <c r="AA56" i="142" s="1"/>
  <c r="Z57" i="142"/>
  <c r="AA57" i="142" s="1"/>
  <c r="Z58" i="142"/>
  <c r="AA58" i="142" s="1"/>
  <c r="Z59" i="142"/>
  <c r="AA59" i="142" s="1"/>
  <c r="Z60" i="142"/>
  <c r="AA60" i="142" s="1"/>
  <c r="Z61" i="142"/>
  <c r="AA61" i="142" s="1"/>
  <c r="Z62" i="142"/>
  <c r="AA62" i="142" s="1"/>
  <c r="Z63" i="142"/>
  <c r="AA63" i="142" s="1"/>
  <c r="Z65" i="142"/>
  <c r="Z66" i="142"/>
  <c r="Z67" i="142"/>
  <c r="Z68" i="142"/>
  <c r="Z69" i="142"/>
  <c r="Z71" i="142"/>
  <c r="AA71" i="142" s="1"/>
  <c r="Z72" i="142"/>
  <c r="AA72" i="142" s="1"/>
  <c r="Z73" i="142"/>
  <c r="K74" i="142"/>
  <c r="V72" i="142"/>
  <c r="V73" i="142"/>
  <c r="V71" i="142"/>
  <c r="X25" i="142"/>
  <c r="X26" i="142"/>
  <c r="X27" i="142"/>
  <c r="X28" i="142"/>
  <c r="X29" i="142"/>
  <c r="X30" i="142"/>
  <c r="X31" i="142"/>
  <c r="X32" i="142"/>
  <c r="X34" i="142"/>
  <c r="X35" i="142"/>
  <c r="X36" i="142"/>
  <c r="X37" i="142"/>
  <c r="X38" i="142"/>
  <c r="X39" i="142"/>
  <c r="X40" i="142"/>
  <c r="X41" i="142"/>
  <c r="X42" i="142"/>
  <c r="X43" i="142"/>
  <c r="X44" i="142"/>
  <c r="X45" i="142"/>
  <c r="X46" i="142"/>
  <c r="X47" i="142"/>
  <c r="X48" i="142"/>
  <c r="X49" i="142"/>
  <c r="X50" i="142"/>
  <c r="X51" i="142"/>
  <c r="X52" i="142"/>
  <c r="X53" i="142"/>
  <c r="X54" i="142"/>
  <c r="X55" i="142"/>
  <c r="X56" i="142"/>
  <c r="X57" i="142"/>
  <c r="X58" i="142"/>
  <c r="X59" i="142"/>
  <c r="X60" i="142"/>
  <c r="X61" i="142"/>
  <c r="X62" i="142"/>
  <c r="X63" i="142"/>
  <c r="X65" i="142"/>
  <c r="X66" i="142"/>
  <c r="X67" i="142"/>
  <c r="X68" i="142"/>
  <c r="X69" i="142"/>
  <c r="X71" i="142"/>
  <c r="W71" i="142" s="1"/>
  <c r="X72" i="142"/>
  <c r="X73" i="142"/>
  <c r="W73" i="142" s="1"/>
  <c r="X24" i="142"/>
  <c r="U72" i="142"/>
  <c r="U73" i="142"/>
  <c r="U71" i="142"/>
  <c r="U63" i="142"/>
  <c r="U62" i="142"/>
  <c r="U61" i="142"/>
  <c r="U60" i="142"/>
  <c r="U59" i="142"/>
  <c r="U58" i="142"/>
  <c r="U57" i="142"/>
  <c r="U56" i="142"/>
  <c r="U55" i="142"/>
  <c r="U54" i="142"/>
  <c r="U53" i="142"/>
  <c r="U52" i="142"/>
  <c r="U51" i="142"/>
  <c r="U50" i="142"/>
  <c r="U49" i="142"/>
  <c r="U48" i="142"/>
  <c r="U47" i="142"/>
  <c r="U46" i="142"/>
  <c r="U45" i="142"/>
  <c r="U44" i="142"/>
  <c r="U43" i="142"/>
  <c r="U42" i="142"/>
  <c r="U41" i="142"/>
  <c r="X74" i="142" l="1"/>
  <c r="W72" i="142"/>
  <c r="L74" i="142"/>
  <c r="O73" i="142" s="1"/>
  <c r="M63" i="142"/>
  <c r="V63" i="142"/>
  <c r="M62" i="142"/>
  <c r="V62" i="142"/>
  <c r="M61" i="142"/>
  <c r="V61" i="142"/>
  <c r="M60" i="142"/>
  <c r="V60" i="142"/>
  <c r="M59" i="142"/>
  <c r="V59" i="142"/>
  <c r="M58" i="142"/>
  <c r="V58" i="142"/>
  <c r="M57" i="142"/>
  <c r="V57" i="142"/>
  <c r="M56" i="142"/>
  <c r="V56" i="142"/>
  <c r="M55" i="142"/>
  <c r="V55" i="142"/>
  <c r="M54" i="142"/>
  <c r="V54" i="142"/>
  <c r="M53" i="142"/>
  <c r="V53" i="142"/>
  <c r="M52" i="142"/>
  <c r="V52" i="142"/>
  <c r="M51" i="142"/>
  <c r="V51" i="142"/>
  <c r="M50" i="142"/>
  <c r="V50" i="142"/>
  <c r="M49" i="142"/>
  <c r="V49" i="142"/>
  <c r="M48" i="142"/>
  <c r="V48" i="142"/>
  <c r="M47" i="142"/>
  <c r="V47" i="142"/>
  <c r="M46" i="142"/>
  <c r="V46" i="142"/>
  <c r="M45" i="142"/>
  <c r="V45" i="142"/>
  <c r="M44" i="142"/>
  <c r="V44" i="142"/>
  <c r="M43" i="142"/>
  <c r="V43" i="142"/>
  <c r="M42" i="142"/>
  <c r="V42" i="142"/>
  <c r="M41" i="142"/>
  <c r="V41" i="142"/>
  <c r="O46" i="142" l="1"/>
  <c r="O47" i="142"/>
  <c r="O48" i="142"/>
  <c r="O49" i="142"/>
  <c r="O54" i="142"/>
  <c r="K73" i="142"/>
  <c r="O55" i="142"/>
  <c r="O41" i="142"/>
  <c r="O63" i="142"/>
  <c r="O42" i="142"/>
  <c r="O60" i="142"/>
  <c r="O50" i="142"/>
  <c r="O59" i="142"/>
  <c r="O43" i="142"/>
  <c r="O51" i="142"/>
  <c r="O58" i="142"/>
  <c r="O44" i="142"/>
  <c r="O52" i="142"/>
  <c r="O57" i="142"/>
  <c r="O45" i="142"/>
  <c r="O53" i="142"/>
  <c r="O71" i="142"/>
  <c r="O56" i="142"/>
  <c r="O62" i="142"/>
  <c r="O72" i="142"/>
  <c r="O61" i="142"/>
  <c r="K71" i="142"/>
  <c r="K72" i="142"/>
  <c r="X167" i="134"/>
  <c r="X168" i="134"/>
  <c r="X169" i="134"/>
  <c r="X170" i="134"/>
  <c r="X171" i="134"/>
  <c r="X173" i="134"/>
  <c r="X174" i="134"/>
  <c r="X175" i="134"/>
  <c r="X176" i="134"/>
  <c r="X177" i="134"/>
  <c r="X178" i="134"/>
  <c r="X179" i="134"/>
  <c r="X180" i="134"/>
  <c r="X181" i="134"/>
  <c r="X182" i="134"/>
  <c r="X183" i="134"/>
  <c r="X184" i="134"/>
  <c r="X185" i="134"/>
  <c r="X186" i="134"/>
  <c r="X187" i="134"/>
  <c r="X188" i="134"/>
  <c r="X189" i="134"/>
  <c r="X190" i="134"/>
  <c r="X191" i="134"/>
  <c r="X192" i="134"/>
  <c r="X193" i="134"/>
  <c r="X194" i="134"/>
  <c r="X195" i="134"/>
  <c r="X196" i="134"/>
  <c r="X166" i="134"/>
  <c r="V167" i="134"/>
  <c r="V168" i="134"/>
  <c r="V169" i="134"/>
  <c r="V171" i="134"/>
  <c r="V172" i="134"/>
  <c r="V173" i="134"/>
  <c r="V174" i="134"/>
  <c r="V175" i="134"/>
  <c r="V176" i="134"/>
  <c r="V177" i="134"/>
  <c r="V178" i="134"/>
  <c r="V179" i="134"/>
  <c r="V180" i="134"/>
  <c r="V181" i="134"/>
  <c r="V182" i="134"/>
  <c r="V183" i="134"/>
  <c r="V184" i="134"/>
  <c r="V185" i="134"/>
  <c r="V186" i="134"/>
  <c r="V187" i="134"/>
  <c r="V188" i="134"/>
  <c r="V189" i="134"/>
  <c r="V190" i="134"/>
  <c r="V191" i="134"/>
  <c r="V192" i="134"/>
  <c r="V193" i="134"/>
  <c r="V194" i="134"/>
  <c r="V195" i="134"/>
  <c r="V196" i="134"/>
  <c r="Y167" i="134" l="1"/>
  <c r="Y168" i="134"/>
  <c r="AY168" i="134" s="1"/>
  <c r="Y169" i="134"/>
  <c r="AY169" i="134" s="1"/>
  <c r="Y170" i="134"/>
  <c r="AY170" i="134" s="1"/>
  <c r="Y171" i="134"/>
  <c r="AY171" i="134" s="1"/>
  <c r="Y173" i="134"/>
  <c r="AY173" i="134" s="1"/>
  <c r="Y174" i="134"/>
  <c r="Y175" i="134"/>
  <c r="Y176" i="134"/>
  <c r="Y177" i="134"/>
  <c r="Y178" i="134"/>
  <c r="Y179" i="134"/>
  <c r="AY179" i="134" s="1"/>
  <c r="Y180" i="134"/>
  <c r="AY180" i="134" s="1"/>
  <c r="Y181" i="134"/>
  <c r="AY181" i="134" s="1"/>
  <c r="Y182" i="134"/>
  <c r="Y183" i="134"/>
  <c r="AY183" i="134" s="1"/>
  <c r="Y184" i="134"/>
  <c r="AY184" i="134" s="1"/>
  <c r="Y185" i="134"/>
  <c r="AY185" i="134" s="1"/>
  <c r="Y186" i="134"/>
  <c r="AY186" i="134" s="1"/>
  <c r="Y187" i="134"/>
  <c r="AY187" i="134" s="1"/>
  <c r="Y188" i="134"/>
  <c r="Y189" i="134"/>
  <c r="AY189" i="134" s="1"/>
  <c r="Y190" i="134"/>
  <c r="AY190" i="134" s="1"/>
  <c r="Y191" i="134"/>
  <c r="Y192" i="134"/>
  <c r="AY192" i="134" s="1"/>
  <c r="Y193" i="134"/>
  <c r="AY193" i="134" s="1"/>
  <c r="Y194" i="134"/>
  <c r="AY194" i="134" s="1"/>
  <c r="Y195" i="134"/>
  <c r="AY195" i="134" s="1"/>
  <c r="Y196" i="134"/>
  <c r="AY196" i="134" s="1"/>
  <c r="V25" i="142"/>
  <c r="V26" i="142"/>
  <c r="V27" i="142"/>
  <c r="V28" i="142"/>
  <c r="V29" i="142"/>
  <c r="V30" i="142"/>
  <c r="V31" i="142"/>
  <c r="V32" i="142"/>
  <c r="V34" i="142"/>
  <c r="V35" i="142"/>
  <c r="V36" i="142"/>
  <c r="V37" i="142"/>
  <c r="V38" i="142"/>
  <c r="V39" i="142"/>
  <c r="V40" i="142"/>
  <c r="V65" i="142"/>
  <c r="V66" i="142"/>
  <c r="V67" i="142"/>
  <c r="V68" i="142"/>
  <c r="V69" i="142"/>
  <c r="X164" i="134"/>
  <c r="X24" i="134"/>
  <c r="X25" i="134"/>
  <c r="X26" i="134"/>
  <c r="X27" i="134"/>
  <c r="X28" i="134"/>
  <c r="X29" i="134"/>
  <c r="X30" i="134"/>
  <c r="X31" i="134"/>
  <c r="X32" i="134"/>
  <c r="X33" i="134"/>
  <c r="X34" i="134"/>
  <c r="X35" i="134"/>
  <c r="X36" i="134"/>
  <c r="X37" i="134"/>
  <c r="X38" i="134"/>
  <c r="X39" i="134"/>
  <c r="X40" i="134"/>
  <c r="X41" i="134"/>
  <c r="X42" i="134"/>
  <c r="X43" i="134"/>
  <c r="X44" i="134"/>
  <c r="X45" i="134"/>
  <c r="X46" i="134"/>
  <c r="X47" i="134"/>
  <c r="X48" i="134"/>
  <c r="X49" i="134"/>
  <c r="X50" i="134"/>
  <c r="X51" i="134"/>
  <c r="X52" i="134"/>
  <c r="X53" i="134"/>
  <c r="X54" i="134"/>
  <c r="X55" i="134"/>
  <c r="X56" i="134"/>
  <c r="X57" i="134"/>
  <c r="X58" i="134"/>
  <c r="X59" i="134"/>
  <c r="X60" i="134"/>
  <c r="X61" i="134"/>
  <c r="X62" i="134"/>
  <c r="X63" i="134"/>
  <c r="X64" i="134"/>
  <c r="X65" i="134"/>
  <c r="X66" i="134"/>
  <c r="X67" i="134"/>
  <c r="X68" i="134"/>
  <c r="X69" i="134"/>
  <c r="X70" i="134"/>
  <c r="X71" i="134"/>
  <c r="X72" i="134"/>
  <c r="X73" i="134"/>
  <c r="X74" i="134"/>
  <c r="X75" i="134"/>
  <c r="X76" i="134"/>
  <c r="X77" i="134"/>
  <c r="X78" i="134"/>
  <c r="X79" i="134"/>
  <c r="X80" i="134"/>
  <c r="X81" i="134"/>
  <c r="X82" i="134"/>
  <c r="X83" i="134"/>
  <c r="X84" i="134"/>
  <c r="X85" i="134"/>
  <c r="X86" i="134"/>
  <c r="X87" i="134"/>
  <c r="X88" i="134"/>
  <c r="X90" i="134"/>
  <c r="X91" i="134"/>
  <c r="X92" i="134"/>
  <c r="X93" i="134"/>
  <c r="X94" i="134"/>
  <c r="X95" i="134"/>
  <c r="X96" i="134"/>
  <c r="X97" i="134"/>
  <c r="X98" i="134"/>
  <c r="X99" i="134"/>
  <c r="X100" i="134"/>
  <c r="X101" i="134"/>
  <c r="X102" i="134"/>
  <c r="X103" i="134"/>
  <c r="X104" i="134"/>
  <c r="X105" i="134"/>
  <c r="X106" i="134"/>
  <c r="X107" i="134"/>
  <c r="X108" i="134"/>
  <c r="X109" i="134"/>
  <c r="X110" i="134"/>
  <c r="X111" i="134"/>
  <c r="X112" i="134"/>
  <c r="X113" i="134"/>
  <c r="X114" i="134"/>
  <c r="X115" i="134"/>
  <c r="X116" i="134"/>
  <c r="X117" i="134"/>
  <c r="X118" i="134"/>
  <c r="X119" i="134"/>
  <c r="X120" i="134"/>
  <c r="X121" i="134"/>
  <c r="X122" i="134"/>
  <c r="X123" i="134"/>
  <c r="X124" i="134"/>
  <c r="X125" i="134"/>
  <c r="X126" i="134"/>
  <c r="X127" i="134"/>
  <c r="X128" i="134"/>
  <c r="X129" i="134"/>
  <c r="X130" i="134"/>
  <c r="X131" i="134"/>
  <c r="X132" i="134"/>
  <c r="X133" i="134"/>
  <c r="X135" i="134"/>
  <c r="X137" i="134"/>
  <c r="X138" i="134"/>
  <c r="X139" i="134"/>
  <c r="X140" i="134"/>
  <c r="X141" i="134"/>
  <c r="X142" i="134"/>
  <c r="X143" i="134"/>
  <c r="X144" i="134"/>
  <c r="X145" i="134"/>
  <c r="X146" i="134"/>
  <c r="X147" i="134"/>
  <c r="X149" i="134"/>
  <c r="X150" i="134"/>
  <c r="X151" i="134"/>
  <c r="X152" i="134"/>
  <c r="X153" i="134"/>
  <c r="X154" i="134"/>
  <c r="X155" i="134"/>
  <c r="X156" i="134"/>
  <c r="X157" i="134"/>
  <c r="X158" i="134"/>
  <c r="X159" i="134"/>
  <c r="X160" i="134"/>
  <c r="X161" i="134"/>
  <c r="X162" i="134"/>
  <c r="X163" i="134"/>
  <c r="V90" i="134"/>
  <c r="V135" i="134"/>
  <c r="V137" i="134"/>
  <c r="V149" i="134"/>
  <c r="V150" i="134"/>
  <c r="V151" i="134"/>
  <c r="V152" i="134"/>
  <c r="V153" i="134"/>
  <c r="V154" i="134"/>
  <c r="V155" i="134"/>
  <c r="V156" i="134"/>
  <c r="V157" i="134"/>
  <c r="V158" i="134"/>
  <c r="V159" i="134"/>
  <c r="V160" i="134"/>
  <c r="V161" i="134"/>
  <c r="V162" i="134"/>
  <c r="V163" i="134"/>
  <c r="V23" i="134"/>
  <c r="T164" i="134" l="1"/>
  <c r="AU25" i="142"/>
  <c r="AV25" i="142" s="1"/>
  <c r="AU26" i="142"/>
  <c r="AV26" i="142" s="1"/>
  <c r="AU27" i="142"/>
  <c r="AV27" i="142" s="1"/>
  <c r="AU28" i="142"/>
  <c r="AV28" i="142" s="1"/>
  <c r="AU29" i="142"/>
  <c r="AV29" i="142" s="1"/>
  <c r="AU30" i="142"/>
  <c r="AV30" i="142" s="1"/>
  <c r="AU31" i="142"/>
  <c r="AV31" i="142" s="1"/>
  <c r="AU32" i="142"/>
  <c r="AV32" i="142" s="1"/>
  <c r="AU33" i="142"/>
  <c r="AV33" i="142" s="1"/>
  <c r="AU34" i="142"/>
  <c r="AV34" i="142" s="1"/>
  <c r="AU35" i="142"/>
  <c r="AV35" i="142" s="1"/>
  <c r="AU36" i="142"/>
  <c r="AV36" i="142" s="1"/>
  <c r="AU37" i="142"/>
  <c r="AV37" i="142" s="1"/>
  <c r="AU38" i="142"/>
  <c r="AV38" i="142" s="1"/>
  <c r="AU39" i="142"/>
  <c r="AV39" i="142" s="1"/>
  <c r="AU40" i="142"/>
  <c r="AV40" i="142" s="1"/>
  <c r="AU64" i="142"/>
  <c r="AV64" i="142" s="1"/>
  <c r="AU65" i="142"/>
  <c r="AV65" i="142" s="1"/>
  <c r="AU66" i="142"/>
  <c r="AV66" i="142" s="1"/>
  <c r="AU67" i="142"/>
  <c r="AV67" i="142" s="1"/>
  <c r="AU68" i="142"/>
  <c r="AV68" i="142" s="1"/>
  <c r="AU69" i="142"/>
  <c r="AV69" i="142" s="1"/>
  <c r="AU24" i="142"/>
  <c r="AV24" i="142" s="1"/>
  <c r="AV41" i="134"/>
  <c r="AV46" i="134"/>
  <c r="AU167" i="134"/>
  <c r="AV167" i="134" s="1"/>
  <c r="AU168" i="134"/>
  <c r="AV168" i="134" s="1"/>
  <c r="AU169" i="134"/>
  <c r="AU170" i="134"/>
  <c r="AV170" i="134" s="1"/>
  <c r="AU171" i="134"/>
  <c r="AV171" i="134" s="1"/>
  <c r="AU172" i="134"/>
  <c r="AV172" i="134" s="1"/>
  <c r="AU173" i="134"/>
  <c r="AV173" i="134" s="1"/>
  <c r="AU174" i="134"/>
  <c r="AV174" i="134" s="1"/>
  <c r="AU175" i="134"/>
  <c r="AV175" i="134" s="1"/>
  <c r="AU176" i="134"/>
  <c r="AV176" i="134" s="1"/>
  <c r="AU177" i="134"/>
  <c r="AV177" i="134" s="1"/>
  <c r="AU178" i="134"/>
  <c r="AV178" i="134" s="1"/>
  <c r="AU179" i="134"/>
  <c r="AV179" i="134" s="1"/>
  <c r="AU180" i="134"/>
  <c r="AV180" i="134" s="1"/>
  <c r="AU181" i="134"/>
  <c r="AV181" i="134" s="1"/>
  <c r="AU182" i="134"/>
  <c r="AV182" i="134" s="1"/>
  <c r="AU183" i="134"/>
  <c r="AV183" i="134" s="1"/>
  <c r="AU184" i="134"/>
  <c r="AV184" i="134" s="1"/>
  <c r="AU185" i="134"/>
  <c r="AV185" i="134" s="1"/>
  <c r="AU186" i="134"/>
  <c r="AV186" i="134" s="1"/>
  <c r="AU187" i="134"/>
  <c r="AV187" i="134" s="1"/>
  <c r="AU188" i="134"/>
  <c r="AV188" i="134" s="1"/>
  <c r="AU189" i="134"/>
  <c r="AV189" i="134" s="1"/>
  <c r="AU190" i="134"/>
  <c r="AV190" i="134" s="1"/>
  <c r="AU191" i="134"/>
  <c r="AV191" i="134" s="1"/>
  <c r="AU192" i="134"/>
  <c r="AV192" i="134" s="1"/>
  <c r="AU193" i="134"/>
  <c r="AV193" i="134" s="1"/>
  <c r="AU194" i="134"/>
  <c r="AV194" i="134" s="1"/>
  <c r="AU195" i="134"/>
  <c r="AV195" i="134" s="1"/>
  <c r="AU196" i="134"/>
  <c r="AV196" i="134" s="1"/>
  <c r="AU166" i="134"/>
  <c r="AV166" i="134" s="1"/>
  <c r="AU24" i="134"/>
  <c r="AV24" i="134" s="1"/>
  <c r="AU25" i="134"/>
  <c r="AV25" i="134" s="1"/>
  <c r="AU26" i="134"/>
  <c r="AV26" i="134" s="1"/>
  <c r="AU27" i="134"/>
  <c r="AV27" i="134" s="1"/>
  <c r="AU28" i="134"/>
  <c r="AV28" i="134" s="1"/>
  <c r="AU29" i="134"/>
  <c r="AV29" i="134" s="1"/>
  <c r="AU30" i="134"/>
  <c r="AV30" i="134" s="1"/>
  <c r="AU31" i="134"/>
  <c r="AV31" i="134" s="1"/>
  <c r="AU32" i="134"/>
  <c r="AV32" i="134" s="1"/>
  <c r="AU33" i="134"/>
  <c r="AV33" i="134" s="1"/>
  <c r="AU34" i="134"/>
  <c r="AV34" i="134" s="1"/>
  <c r="AU35" i="134"/>
  <c r="AV35" i="134" s="1"/>
  <c r="AU36" i="134"/>
  <c r="AV36" i="134" s="1"/>
  <c r="AU37" i="134"/>
  <c r="AV37" i="134" s="1"/>
  <c r="AU38" i="134"/>
  <c r="AV38" i="134" s="1"/>
  <c r="AU39" i="134"/>
  <c r="AV39" i="134" s="1"/>
  <c r="AU40" i="134"/>
  <c r="AV40" i="134" s="1"/>
  <c r="AU42" i="134"/>
  <c r="AV42" i="134" s="1"/>
  <c r="AU43" i="134"/>
  <c r="AV43" i="134" s="1"/>
  <c r="AU44" i="134"/>
  <c r="AV44" i="134" s="1"/>
  <c r="AU45" i="134"/>
  <c r="AV45" i="134" s="1"/>
  <c r="AU47" i="134"/>
  <c r="AV47" i="134" s="1"/>
  <c r="AU48" i="134"/>
  <c r="AV48" i="134" s="1"/>
  <c r="AU49" i="134"/>
  <c r="AV49" i="134" s="1"/>
  <c r="AU50" i="134"/>
  <c r="AV50" i="134" s="1"/>
  <c r="AU51" i="134"/>
  <c r="AV51" i="134" s="1"/>
  <c r="AU52" i="134"/>
  <c r="AV52" i="134" s="1"/>
  <c r="AU53" i="134"/>
  <c r="AV53" i="134" s="1"/>
  <c r="AU54" i="134"/>
  <c r="AV54" i="134" s="1"/>
  <c r="AU55" i="134"/>
  <c r="AV55" i="134" s="1"/>
  <c r="AU56" i="134"/>
  <c r="AV56" i="134" s="1"/>
  <c r="AU57" i="134"/>
  <c r="AV57" i="134" s="1"/>
  <c r="AU58" i="134"/>
  <c r="AV58" i="134" s="1"/>
  <c r="AU59" i="134"/>
  <c r="AV59" i="134" s="1"/>
  <c r="AU60" i="134"/>
  <c r="AV60" i="134" s="1"/>
  <c r="AU61" i="134"/>
  <c r="AV61" i="134" s="1"/>
  <c r="AU62" i="134"/>
  <c r="AV62" i="134" s="1"/>
  <c r="AU63" i="134"/>
  <c r="AV63" i="134" s="1"/>
  <c r="AU64" i="134"/>
  <c r="AV64" i="134" s="1"/>
  <c r="AU65" i="134"/>
  <c r="AV65" i="134" s="1"/>
  <c r="AU66" i="134"/>
  <c r="AV66" i="134" s="1"/>
  <c r="AU67" i="134"/>
  <c r="AV67" i="134" s="1"/>
  <c r="AU68" i="134"/>
  <c r="AV68" i="134" s="1"/>
  <c r="AU69" i="134"/>
  <c r="AV69" i="134" s="1"/>
  <c r="AU70" i="134"/>
  <c r="AV70" i="134" s="1"/>
  <c r="AU71" i="134"/>
  <c r="AV71" i="134" s="1"/>
  <c r="AU72" i="134"/>
  <c r="AV72" i="134" s="1"/>
  <c r="AU73" i="134"/>
  <c r="AV73" i="134" s="1"/>
  <c r="AU74" i="134"/>
  <c r="AV74" i="134" s="1"/>
  <c r="AU75" i="134"/>
  <c r="AV75" i="134" s="1"/>
  <c r="AU76" i="134"/>
  <c r="AV76" i="134" s="1"/>
  <c r="AU77" i="134"/>
  <c r="AV77" i="134" s="1"/>
  <c r="AU78" i="134"/>
  <c r="AV78" i="134" s="1"/>
  <c r="AU79" i="134"/>
  <c r="AV79" i="134" s="1"/>
  <c r="AU80" i="134"/>
  <c r="AV80" i="134" s="1"/>
  <c r="AU81" i="134"/>
  <c r="AV81" i="134" s="1"/>
  <c r="AU82" i="134"/>
  <c r="AV82" i="134" s="1"/>
  <c r="AU83" i="134"/>
  <c r="AV83" i="134" s="1"/>
  <c r="AU84" i="134"/>
  <c r="AV84" i="134" s="1"/>
  <c r="AU85" i="134"/>
  <c r="AV85" i="134" s="1"/>
  <c r="AU86" i="134"/>
  <c r="AV86" i="134" s="1"/>
  <c r="AU87" i="134"/>
  <c r="AV87" i="134" s="1"/>
  <c r="AU88" i="134"/>
  <c r="AV88" i="134" s="1"/>
  <c r="AU89" i="134"/>
  <c r="AV89" i="134" s="1"/>
  <c r="AU90" i="134"/>
  <c r="AV90" i="134" s="1"/>
  <c r="AU91" i="134"/>
  <c r="AV91" i="134" s="1"/>
  <c r="AU92" i="134"/>
  <c r="AV92" i="134" s="1"/>
  <c r="AU93" i="134"/>
  <c r="AV93" i="134" s="1"/>
  <c r="AU94" i="134"/>
  <c r="AV94" i="134" s="1"/>
  <c r="AU95" i="134"/>
  <c r="AV95" i="134" s="1"/>
  <c r="AU96" i="134"/>
  <c r="AV96" i="134" s="1"/>
  <c r="AU97" i="134"/>
  <c r="AV97" i="134" s="1"/>
  <c r="AU98" i="134"/>
  <c r="AV98" i="134" s="1"/>
  <c r="AU99" i="134"/>
  <c r="AV99" i="134" s="1"/>
  <c r="AU100" i="134"/>
  <c r="AV100" i="134" s="1"/>
  <c r="AU101" i="134"/>
  <c r="AV101" i="134" s="1"/>
  <c r="AU102" i="134"/>
  <c r="AV102" i="134" s="1"/>
  <c r="AU103" i="134"/>
  <c r="AV103" i="134" s="1"/>
  <c r="AU104" i="134"/>
  <c r="AV104" i="134" s="1"/>
  <c r="AU105" i="134"/>
  <c r="AV105" i="134" s="1"/>
  <c r="AU106" i="134"/>
  <c r="AV106" i="134" s="1"/>
  <c r="AU107" i="134"/>
  <c r="AV107" i="134" s="1"/>
  <c r="AU108" i="134"/>
  <c r="AV108" i="134" s="1"/>
  <c r="AU109" i="134"/>
  <c r="AV109" i="134" s="1"/>
  <c r="AU110" i="134"/>
  <c r="AV110" i="134" s="1"/>
  <c r="AU111" i="134"/>
  <c r="AV111" i="134" s="1"/>
  <c r="AU112" i="134"/>
  <c r="AV112" i="134" s="1"/>
  <c r="AU113" i="134"/>
  <c r="AV113" i="134" s="1"/>
  <c r="AU114" i="134"/>
  <c r="AV114" i="134" s="1"/>
  <c r="AU115" i="134"/>
  <c r="AV115" i="134" s="1"/>
  <c r="AU116" i="134"/>
  <c r="AV116" i="134" s="1"/>
  <c r="AU117" i="134"/>
  <c r="AV117" i="134" s="1"/>
  <c r="AU118" i="134"/>
  <c r="AV118" i="134" s="1"/>
  <c r="AU119" i="134"/>
  <c r="AV119" i="134" s="1"/>
  <c r="AU120" i="134"/>
  <c r="AV120" i="134" s="1"/>
  <c r="AU121" i="134"/>
  <c r="AV121" i="134" s="1"/>
  <c r="AU122" i="134"/>
  <c r="AV122" i="134" s="1"/>
  <c r="AU123" i="134"/>
  <c r="AV123" i="134" s="1"/>
  <c r="AU124" i="134"/>
  <c r="AV124" i="134" s="1"/>
  <c r="AU125" i="134"/>
  <c r="AV125" i="134" s="1"/>
  <c r="AU126" i="134"/>
  <c r="AV126" i="134" s="1"/>
  <c r="AU127" i="134"/>
  <c r="AV127" i="134" s="1"/>
  <c r="AU128" i="134"/>
  <c r="AV128" i="134" s="1"/>
  <c r="AU129" i="134"/>
  <c r="AV129" i="134" s="1"/>
  <c r="AU130" i="134"/>
  <c r="AV130" i="134" s="1"/>
  <c r="AU131" i="134"/>
  <c r="AV131" i="134" s="1"/>
  <c r="AU132" i="134"/>
  <c r="AV132" i="134" s="1"/>
  <c r="AU133" i="134"/>
  <c r="AV133" i="134" s="1"/>
  <c r="AU134" i="134"/>
  <c r="AV134" i="134" s="1"/>
  <c r="AU135" i="134"/>
  <c r="AV135" i="134" s="1"/>
  <c r="AU136" i="134"/>
  <c r="AV136" i="134" s="1"/>
  <c r="AU137" i="134"/>
  <c r="AV137" i="134" s="1"/>
  <c r="AU138" i="134"/>
  <c r="AV138" i="134" s="1"/>
  <c r="AU139" i="134"/>
  <c r="AV139" i="134" s="1"/>
  <c r="AU140" i="134"/>
  <c r="AV140" i="134" s="1"/>
  <c r="AU141" i="134"/>
  <c r="AV141" i="134" s="1"/>
  <c r="AU142" i="134"/>
  <c r="AV142" i="134" s="1"/>
  <c r="AU143" i="134"/>
  <c r="AV143" i="134" s="1"/>
  <c r="AU144" i="134"/>
  <c r="AV144" i="134" s="1"/>
  <c r="AU145" i="134"/>
  <c r="AV145" i="134" s="1"/>
  <c r="AU146" i="134"/>
  <c r="AV146" i="134" s="1"/>
  <c r="AU147" i="134"/>
  <c r="AV147" i="134" s="1"/>
  <c r="AU148" i="134"/>
  <c r="AV148" i="134" s="1"/>
  <c r="AU149" i="134"/>
  <c r="AV149" i="134" s="1"/>
  <c r="AU150" i="134"/>
  <c r="AV150" i="134" s="1"/>
  <c r="AU151" i="134"/>
  <c r="AV151" i="134" s="1"/>
  <c r="AU152" i="134"/>
  <c r="AV152" i="134" s="1"/>
  <c r="AU153" i="134"/>
  <c r="AV153" i="134" s="1"/>
  <c r="AU154" i="134"/>
  <c r="AV154" i="134" s="1"/>
  <c r="AU155" i="134"/>
  <c r="AV155" i="134" s="1"/>
  <c r="AU156" i="134"/>
  <c r="AV156" i="134" s="1"/>
  <c r="AU157" i="134"/>
  <c r="AV157" i="134" s="1"/>
  <c r="AU158" i="134"/>
  <c r="AV158" i="134" s="1"/>
  <c r="AU159" i="134"/>
  <c r="AV159" i="134" s="1"/>
  <c r="AU160" i="134"/>
  <c r="AV160" i="134" s="1"/>
  <c r="AU161" i="134"/>
  <c r="AV161" i="134" s="1"/>
  <c r="AU162" i="134"/>
  <c r="AV162" i="134" s="1"/>
  <c r="AU163" i="134"/>
  <c r="AV163" i="134" s="1"/>
  <c r="AU23" i="134"/>
  <c r="AU197" i="134" l="1"/>
  <c r="AU164" i="134"/>
  <c r="AV74" i="142"/>
  <c r="AU74" i="142"/>
  <c r="AV23" i="134"/>
  <c r="AV164" i="134" s="1"/>
  <c r="AV169" i="134"/>
  <c r="AV197" i="134" s="1"/>
  <c r="L197" i="134" l="1"/>
  <c r="AB164" i="134"/>
  <c r="L58" i="134"/>
  <c r="L164" i="134" s="1"/>
  <c r="X23" i="134"/>
  <c r="M55" i="134"/>
  <c r="M56" i="134"/>
  <c r="L198" i="134" l="1"/>
  <c r="W26" i="134"/>
  <c r="W36" i="134"/>
  <c r="W48" i="134"/>
  <c r="W58" i="134"/>
  <c r="W68" i="134"/>
  <c r="W80" i="134"/>
  <c r="W91" i="134"/>
  <c r="W102" i="134"/>
  <c r="W113" i="134"/>
  <c r="W123" i="134"/>
  <c r="W145" i="134"/>
  <c r="W155" i="134"/>
  <c r="W78" i="134"/>
  <c r="W154" i="134"/>
  <c r="W27" i="134"/>
  <c r="W38" i="134"/>
  <c r="W49" i="134"/>
  <c r="W59" i="134"/>
  <c r="W70" i="134"/>
  <c r="W81" i="134"/>
  <c r="W92" i="134"/>
  <c r="W104" i="134"/>
  <c r="W114" i="134"/>
  <c r="W124" i="134"/>
  <c r="W146" i="134"/>
  <c r="W156" i="134"/>
  <c r="W67" i="134"/>
  <c r="W122" i="134"/>
  <c r="W28" i="134"/>
  <c r="W40" i="134"/>
  <c r="W50" i="134"/>
  <c r="W60" i="134"/>
  <c r="W72" i="134"/>
  <c r="W82" i="134"/>
  <c r="W94" i="134"/>
  <c r="W105" i="134"/>
  <c r="W115" i="134"/>
  <c r="W126" i="134"/>
  <c r="W137" i="134"/>
  <c r="W147" i="134"/>
  <c r="W158" i="134"/>
  <c r="W30" i="134"/>
  <c r="W41" i="134"/>
  <c r="W51" i="134"/>
  <c r="W62" i="134"/>
  <c r="W73" i="134"/>
  <c r="W83" i="134"/>
  <c r="W96" i="134"/>
  <c r="W106" i="134"/>
  <c r="W116" i="134"/>
  <c r="W128" i="134"/>
  <c r="W138" i="134"/>
  <c r="W160" i="134"/>
  <c r="W46" i="134"/>
  <c r="W100" i="134"/>
  <c r="W144" i="134"/>
  <c r="W32" i="134"/>
  <c r="W42" i="134"/>
  <c r="W52" i="134"/>
  <c r="W64" i="134"/>
  <c r="W74" i="134"/>
  <c r="W84" i="134"/>
  <c r="W97" i="134"/>
  <c r="W107" i="134"/>
  <c r="W118" i="134"/>
  <c r="W129" i="134"/>
  <c r="W139" i="134"/>
  <c r="W150" i="134"/>
  <c r="W161" i="134"/>
  <c r="W35" i="134"/>
  <c r="W90" i="134"/>
  <c r="W33" i="134"/>
  <c r="W43" i="134"/>
  <c r="W54" i="134"/>
  <c r="W65" i="134"/>
  <c r="W75" i="134"/>
  <c r="W86" i="134"/>
  <c r="W98" i="134"/>
  <c r="W108" i="134"/>
  <c r="W120" i="134"/>
  <c r="W130" i="134"/>
  <c r="W140" i="134"/>
  <c r="W152" i="134"/>
  <c r="W162" i="134"/>
  <c r="W57" i="134"/>
  <c r="W132" i="134"/>
  <c r="W24" i="134"/>
  <c r="W34" i="134"/>
  <c r="W44" i="134"/>
  <c r="W56" i="134"/>
  <c r="W66" i="134"/>
  <c r="W76" i="134"/>
  <c r="W88" i="134"/>
  <c r="W99" i="134"/>
  <c r="W110" i="134"/>
  <c r="W121" i="134"/>
  <c r="W131" i="134"/>
  <c r="W142" i="134"/>
  <c r="W153" i="134"/>
  <c r="W163" i="134"/>
  <c r="W25" i="134"/>
  <c r="W112" i="134"/>
  <c r="W101" i="134"/>
  <c r="W63" i="134"/>
  <c r="W151" i="134"/>
  <c r="W157" i="134"/>
  <c r="W37" i="134"/>
  <c r="W141" i="134"/>
  <c r="W55" i="134"/>
  <c r="W143" i="134"/>
  <c r="W117" i="134"/>
  <c r="W29" i="134"/>
  <c r="W93" i="134"/>
  <c r="W47" i="134"/>
  <c r="W135" i="134"/>
  <c r="W85" i="134"/>
  <c r="W125" i="134"/>
  <c r="W39" i="134"/>
  <c r="W127" i="134"/>
  <c r="W77" i="134"/>
  <c r="W71" i="134"/>
  <c r="W133" i="134"/>
  <c r="W31" i="134"/>
  <c r="W119" i="134"/>
  <c r="W69" i="134"/>
  <c r="W45" i="134"/>
  <c r="W87" i="134"/>
  <c r="W149" i="134"/>
  <c r="W111" i="134"/>
  <c r="W61" i="134"/>
  <c r="W95" i="134"/>
  <c r="W79" i="134"/>
  <c r="W109" i="134"/>
  <c r="W103" i="134"/>
  <c r="W53" i="134"/>
  <c r="W159" i="134"/>
  <c r="P164" i="134"/>
  <c r="T74" i="142" l="1"/>
  <c r="T197" i="134"/>
  <c r="T198" i="134" l="1"/>
  <c r="P197" i="134"/>
  <c r="P198" i="134" s="1"/>
  <c r="K63" i="142" l="1"/>
  <c r="W63" i="142"/>
  <c r="K62" i="142"/>
  <c r="W62" i="142"/>
  <c r="K61" i="142"/>
  <c r="W61" i="142"/>
  <c r="K60" i="142"/>
  <c r="W60" i="142"/>
  <c r="K59" i="142"/>
  <c r="W59" i="142"/>
  <c r="K58" i="142"/>
  <c r="W58" i="142"/>
  <c r="K57" i="142"/>
  <c r="W57" i="142"/>
  <c r="K56" i="142"/>
  <c r="W56" i="142"/>
  <c r="K55" i="142"/>
  <c r="W55" i="142"/>
  <c r="K54" i="142"/>
  <c r="W54" i="142"/>
  <c r="K53" i="142"/>
  <c r="W53" i="142"/>
  <c r="K52" i="142"/>
  <c r="W52" i="142"/>
  <c r="K51" i="142"/>
  <c r="W51" i="142"/>
  <c r="K50" i="142"/>
  <c r="W50" i="142"/>
  <c r="K49" i="142"/>
  <c r="W49" i="142"/>
  <c r="K48" i="142"/>
  <c r="W48" i="142"/>
  <c r="K47" i="142"/>
  <c r="W47" i="142"/>
  <c r="K46" i="142"/>
  <c r="W46" i="142"/>
  <c r="K45" i="142"/>
  <c r="W45" i="142"/>
  <c r="K44" i="142"/>
  <c r="W44" i="142"/>
  <c r="K43" i="142"/>
  <c r="W43" i="142"/>
  <c r="K42" i="142"/>
  <c r="W42" i="142"/>
  <c r="O24" i="142"/>
  <c r="K41" i="142"/>
  <c r="W41" i="142"/>
  <c r="U163" i="134"/>
  <c r="U162" i="134"/>
  <c r="U160" i="134"/>
  <c r="U159" i="134"/>
  <c r="U157" i="134"/>
  <c r="U156" i="134"/>
  <c r="U154" i="134"/>
  <c r="U153" i="134"/>
  <c r="U152" i="134"/>
  <c r="U151" i="134"/>
  <c r="U149" i="134"/>
  <c r="U147" i="134"/>
  <c r="U145" i="134"/>
  <c r="U144" i="134"/>
  <c r="U143" i="134"/>
  <c r="U142" i="134"/>
  <c r="U140" i="134"/>
  <c r="U139" i="134"/>
  <c r="U137" i="134"/>
  <c r="U135" i="134"/>
  <c r="U133" i="134"/>
  <c r="U132" i="134"/>
  <c r="U130" i="134"/>
  <c r="U129" i="134"/>
  <c r="U127" i="134"/>
  <c r="U126" i="134"/>
  <c r="U125" i="134"/>
  <c r="U124" i="134"/>
  <c r="U122" i="134"/>
  <c r="U121" i="134"/>
  <c r="U119" i="134"/>
  <c r="U118" i="134"/>
  <c r="U117" i="134"/>
  <c r="U116" i="134"/>
  <c r="U114" i="134"/>
  <c r="U113" i="134"/>
  <c r="U111" i="134"/>
  <c r="U110" i="134"/>
  <c r="U109" i="134"/>
  <c r="U108" i="134"/>
  <c r="U106" i="134"/>
  <c r="U105" i="134"/>
  <c r="U103" i="134"/>
  <c r="U102" i="134"/>
  <c r="U100" i="134"/>
  <c r="U99" i="134"/>
  <c r="U98" i="134"/>
  <c r="U97" i="134"/>
  <c r="U95" i="134"/>
  <c r="U94" i="134"/>
  <c r="U92" i="134"/>
  <c r="U91" i="134"/>
  <c r="U90" i="134"/>
  <c r="U88" i="134"/>
  <c r="U86" i="134"/>
  <c r="U85" i="134"/>
  <c r="U83" i="134"/>
  <c r="U82" i="134"/>
  <c r="U81" i="134"/>
  <c r="U80" i="134"/>
  <c r="U78" i="134"/>
  <c r="U77" i="134"/>
  <c r="U75" i="134"/>
  <c r="U74" i="134"/>
  <c r="U73" i="134"/>
  <c r="U72" i="134"/>
  <c r="U70" i="134"/>
  <c r="U69" i="134"/>
  <c r="U68" i="134"/>
  <c r="U67" i="134"/>
  <c r="U66" i="134"/>
  <c r="U65" i="134"/>
  <c r="U64" i="134"/>
  <c r="U62" i="134"/>
  <c r="U61" i="134"/>
  <c r="U60" i="134"/>
  <c r="U59" i="134"/>
  <c r="U58" i="134"/>
  <c r="U57" i="134"/>
  <c r="U56" i="134"/>
  <c r="U55" i="134"/>
  <c r="U54" i="134"/>
  <c r="U53" i="134"/>
  <c r="U52" i="134"/>
  <c r="U51" i="134"/>
  <c r="U49" i="134"/>
  <c r="U48" i="134"/>
  <c r="U46" i="134"/>
  <c r="U45" i="134"/>
  <c r="U44" i="134"/>
  <c r="U43" i="134"/>
  <c r="U42" i="134"/>
  <c r="U41" i="134"/>
  <c r="U40" i="134"/>
  <c r="U38" i="134"/>
  <c r="U37" i="134"/>
  <c r="U36" i="134"/>
  <c r="U35" i="134"/>
  <c r="U34" i="134"/>
  <c r="U33" i="134"/>
  <c r="U32" i="134"/>
  <c r="U30" i="134"/>
  <c r="U29" i="134"/>
  <c r="U28" i="134"/>
  <c r="U27" i="134"/>
  <c r="U26" i="134"/>
  <c r="U25" i="134"/>
  <c r="U24" i="134"/>
  <c r="U69" i="142"/>
  <c r="O69" i="142"/>
  <c r="O68" i="142"/>
  <c r="U67" i="142"/>
  <c r="O67" i="142"/>
  <c r="U66" i="142"/>
  <c r="U65" i="142"/>
  <c r="O65" i="142"/>
  <c r="U40" i="142"/>
  <c r="O40" i="142"/>
  <c r="R40" i="142" s="1"/>
  <c r="S40" i="142" s="1"/>
  <c r="U39" i="142"/>
  <c r="O39" i="142"/>
  <c r="U38" i="142"/>
  <c r="O38" i="142"/>
  <c r="U37" i="142"/>
  <c r="O37" i="142"/>
  <c r="U36" i="142"/>
  <c r="O36" i="142"/>
  <c r="U35" i="142"/>
  <c r="O35" i="142"/>
  <c r="U34" i="142"/>
  <c r="O34" i="142"/>
  <c r="U32" i="142"/>
  <c r="U31" i="142"/>
  <c r="O31" i="142"/>
  <c r="O30" i="142"/>
  <c r="R30" i="142" s="1"/>
  <c r="S30" i="142" s="1"/>
  <c r="O29" i="142"/>
  <c r="U28" i="142"/>
  <c r="O28" i="142"/>
  <c r="R28" i="142" s="1"/>
  <c r="S28" i="142" s="1"/>
  <c r="U27" i="142"/>
  <c r="O27" i="142"/>
  <c r="U26" i="142"/>
  <c r="O26" i="142"/>
  <c r="R26" i="142" s="1"/>
  <c r="S26" i="142" s="1"/>
  <c r="U25" i="142"/>
  <c r="O25" i="142"/>
  <c r="S25" i="142" s="1"/>
  <c r="U24" i="142"/>
  <c r="U74" i="142"/>
  <c r="AC39" i="142"/>
  <c r="AC34" i="142"/>
  <c r="W26" i="142"/>
  <c r="Z26" i="142" s="1"/>
  <c r="C47" i="144"/>
  <c r="D17" i="144"/>
  <c r="D14" i="144"/>
  <c r="C197" i="143"/>
  <c r="C164" i="143"/>
  <c r="D17" i="143"/>
  <c r="D14" i="143"/>
  <c r="D15" i="143"/>
  <c r="AC40" i="142"/>
  <c r="AC38" i="142"/>
  <c r="AC37" i="142"/>
  <c r="AC36" i="142"/>
  <c r="AC24" i="142"/>
  <c r="AC25" i="142"/>
  <c r="AC26" i="142"/>
  <c r="AC27" i="142"/>
  <c r="AC28" i="142"/>
  <c r="AC30" i="142"/>
  <c r="AC31" i="142"/>
  <c r="W27" i="142"/>
  <c r="W30" i="142"/>
  <c r="Z30" i="142" s="1"/>
  <c r="AA30" i="142" s="1"/>
  <c r="W31" i="142"/>
  <c r="Z31" i="142" s="1"/>
  <c r="AA31" i="142" s="1"/>
  <c r="W38" i="142"/>
  <c r="Z38" i="142" s="1"/>
  <c r="AA38" i="142" s="1"/>
  <c r="W39" i="142"/>
  <c r="Z39" i="142" s="1"/>
  <c r="AA39" i="142" s="1"/>
  <c r="W40" i="142"/>
  <c r="Z40" i="142" s="1"/>
  <c r="AA40" i="142" s="1"/>
  <c r="K66" i="142"/>
  <c r="K67" i="142"/>
  <c r="K38" i="142"/>
  <c r="K37" i="142"/>
  <c r="K36" i="142"/>
  <c r="K28" i="142"/>
  <c r="K29" i="142"/>
  <c r="K30" i="142"/>
  <c r="W32" i="142"/>
  <c r="Z32" i="142" s="1"/>
  <c r="AA32" i="142" s="1"/>
  <c r="M35" i="142"/>
  <c r="M36" i="142"/>
  <c r="M37" i="142"/>
  <c r="M38" i="142"/>
  <c r="M39" i="142"/>
  <c r="M40" i="142"/>
  <c r="M34" i="142"/>
  <c r="M32" i="142"/>
  <c r="M25" i="142"/>
  <c r="M26" i="142"/>
  <c r="M27" i="142"/>
  <c r="M28" i="142"/>
  <c r="M29" i="142"/>
  <c r="M30" i="142"/>
  <c r="M31" i="142"/>
  <c r="M24" i="142"/>
  <c r="M74" i="142" l="1"/>
  <c r="Z27" i="142"/>
  <c r="AA27" i="142" s="1"/>
  <c r="AC18" i="142"/>
  <c r="U164" i="134"/>
  <c r="U197" i="134"/>
  <c r="U198" i="134"/>
  <c r="U31" i="134"/>
  <c r="U39" i="134"/>
  <c r="U47" i="134"/>
  <c r="U50" i="134"/>
  <c r="U63" i="134"/>
  <c r="U71" i="134"/>
  <c r="U79" i="134"/>
  <c r="U87" i="134"/>
  <c r="U96" i="134"/>
  <c r="U107" i="134"/>
  <c r="U115" i="134"/>
  <c r="U123" i="134"/>
  <c r="U131" i="134"/>
  <c r="U141" i="134"/>
  <c r="U150" i="134"/>
  <c r="U161" i="134"/>
  <c r="U23" i="134"/>
  <c r="U76" i="134"/>
  <c r="U84" i="134"/>
  <c r="U93" i="134"/>
  <c r="U104" i="134"/>
  <c r="U112" i="134"/>
  <c r="U120" i="134"/>
  <c r="U128" i="134"/>
  <c r="U138" i="134"/>
  <c r="U146" i="134"/>
  <c r="U155" i="134"/>
  <c r="U158" i="134"/>
  <c r="U101" i="134"/>
  <c r="U30" i="142"/>
  <c r="O32" i="142"/>
  <c r="O66" i="142"/>
  <c r="U68" i="142"/>
  <c r="U29" i="142"/>
  <c r="K27" i="142"/>
  <c r="K39" i="142"/>
  <c r="W24" i="142"/>
  <c r="W37" i="142"/>
  <c r="Z37" i="142" s="1"/>
  <c r="AA37" i="142" s="1"/>
  <c r="K26" i="142"/>
  <c r="W69" i="142"/>
  <c r="K24" i="142"/>
  <c r="K25" i="142"/>
  <c r="K65" i="142"/>
  <c r="W68" i="142"/>
  <c r="W34" i="142"/>
  <c r="W25" i="142"/>
  <c r="Z25" i="142" s="1"/>
  <c r="AA25" i="142" s="1"/>
  <c r="K32" i="142"/>
  <c r="W35" i="142"/>
  <c r="Z35" i="142" s="1"/>
  <c r="K40" i="142"/>
  <c r="W36" i="142"/>
  <c r="Z36" i="142" s="1"/>
  <c r="AA36" i="142" s="1"/>
  <c r="K34" i="142"/>
  <c r="K69" i="142"/>
  <c r="W65" i="142"/>
  <c r="K31" i="142"/>
  <c r="K35" i="142"/>
  <c r="K68" i="142"/>
  <c r="W28" i="142"/>
  <c r="Z28" i="142" s="1"/>
  <c r="AA28" i="142" s="1"/>
  <c r="W67" i="142"/>
  <c r="W66" i="142"/>
  <c r="AC35" i="142"/>
  <c r="AC74" i="142"/>
  <c r="W29" i="142"/>
  <c r="Z29" i="142" s="1"/>
  <c r="AA29" i="142" s="1"/>
  <c r="AC29" i="142"/>
  <c r="AA26" i="142"/>
  <c r="C198" i="143"/>
  <c r="D15" i="144"/>
  <c r="E164" i="143"/>
  <c r="AC150" i="134"/>
  <c r="AC163" i="134"/>
  <c r="AC138" i="134"/>
  <c r="AC139" i="134"/>
  <c r="AC140" i="134"/>
  <c r="AC142" i="134"/>
  <c r="AC143" i="134"/>
  <c r="AC144" i="134"/>
  <c r="AC145" i="134"/>
  <c r="AC146" i="134"/>
  <c r="AC147" i="134"/>
  <c r="AC130" i="134"/>
  <c r="AC52" i="134"/>
  <c r="AC53" i="134"/>
  <c r="AC54" i="134"/>
  <c r="AC55" i="134"/>
  <c r="AC59" i="134"/>
  <c r="AC62" i="134"/>
  <c r="AC67" i="134"/>
  <c r="AC77" i="134"/>
  <c r="R24" i="142" l="1"/>
  <c r="M167" i="134"/>
  <c r="AC167" i="134" s="1"/>
  <c r="M168" i="134"/>
  <c r="AC168" i="134" s="1"/>
  <c r="M169" i="134"/>
  <c r="AC169" i="134" s="1"/>
  <c r="M170" i="134"/>
  <c r="AC170" i="134" s="1"/>
  <c r="M171" i="134"/>
  <c r="AC171" i="134" s="1"/>
  <c r="M172" i="134"/>
  <c r="M173" i="134"/>
  <c r="AC173" i="134" s="1"/>
  <c r="M174" i="134"/>
  <c r="AC174" i="134" s="1"/>
  <c r="M175" i="134"/>
  <c r="AC175" i="134" s="1"/>
  <c r="M176" i="134"/>
  <c r="AC176" i="134" s="1"/>
  <c r="M177" i="134"/>
  <c r="AC177" i="134" s="1"/>
  <c r="M178" i="134"/>
  <c r="AC178" i="134" s="1"/>
  <c r="M179" i="134"/>
  <c r="AC179" i="134" s="1"/>
  <c r="M180" i="134"/>
  <c r="AC180" i="134" s="1"/>
  <c r="M181" i="134"/>
  <c r="AC181" i="134" s="1"/>
  <c r="M182" i="134"/>
  <c r="AC182" i="134" s="1"/>
  <c r="M183" i="134"/>
  <c r="AC183" i="134" s="1"/>
  <c r="M184" i="134"/>
  <c r="AC184" i="134" s="1"/>
  <c r="M185" i="134"/>
  <c r="AC185" i="134" s="1"/>
  <c r="M186" i="134"/>
  <c r="AC186" i="134" s="1"/>
  <c r="M187" i="134"/>
  <c r="M188" i="134"/>
  <c r="AC188" i="134" s="1"/>
  <c r="M189" i="134"/>
  <c r="AC189" i="134" s="1"/>
  <c r="M190" i="134"/>
  <c r="AC190" i="134" s="1"/>
  <c r="M191" i="134"/>
  <c r="AC191" i="134" s="1"/>
  <c r="M192" i="134"/>
  <c r="AC192" i="134" s="1"/>
  <c r="M193" i="134"/>
  <c r="AC193" i="134" s="1"/>
  <c r="M194" i="134"/>
  <c r="AC194" i="134" s="1"/>
  <c r="M195" i="134"/>
  <c r="AC195" i="134" s="1"/>
  <c r="M196" i="134"/>
  <c r="AC196" i="134" s="1"/>
  <c r="M138" i="134"/>
  <c r="M139" i="134"/>
  <c r="M140" i="134"/>
  <c r="M141" i="134"/>
  <c r="AC141" i="134" s="1"/>
  <c r="M142" i="134"/>
  <c r="M143" i="134"/>
  <c r="M144" i="134"/>
  <c r="M145" i="134"/>
  <c r="M146" i="134"/>
  <c r="M147" i="134"/>
  <c r="M149" i="134"/>
  <c r="M150" i="134"/>
  <c r="M151" i="134"/>
  <c r="M152" i="134"/>
  <c r="M153" i="134"/>
  <c r="M154" i="134"/>
  <c r="M155" i="134"/>
  <c r="AC155" i="134" s="1"/>
  <c r="M156" i="134"/>
  <c r="M157" i="134"/>
  <c r="AC157" i="134" s="1"/>
  <c r="M158" i="134"/>
  <c r="M159" i="134"/>
  <c r="M160" i="134"/>
  <c r="M161" i="134"/>
  <c r="M162" i="134"/>
  <c r="M163" i="134"/>
  <c r="M91" i="134"/>
  <c r="AC91" i="134" s="1"/>
  <c r="M92" i="134"/>
  <c r="AC92" i="134" s="1"/>
  <c r="M93" i="134"/>
  <c r="AC93" i="134" s="1"/>
  <c r="M94" i="134"/>
  <c r="AC94" i="134" s="1"/>
  <c r="M95" i="134"/>
  <c r="AC95" i="134" s="1"/>
  <c r="M96" i="134"/>
  <c r="AC96" i="134" s="1"/>
  <c r="M97" i="134"/>
  <c r="AC97" i="134" s="1"/>
  <c r="M98" i="134"/>
  <c r="AC98" i="134" s="1"/>
  <c r="M99" i="134"/>
  <c r="AC99" i="134" s="1"/>
  <c r="M100" i="134"/>
  <c r="AC100" i="134" s="1"/>
  <c r="M101" i="134"/>
  <c r="AC101" i="134" s="1"/>
  <c r="M102" i="134"/>
  <c r="AC102" i="134" s="1"/>
  <c r="M103" i="134"/>
  <c r="AC103" i="134" s="1"/>
  <c r="M104" i="134"/>
  <c r="AC104" i="134" s="1"/>
  <c r="M105" i="134"/>
  <c r="AC105" i="134" s="1"/>
  <c r="M106" i="134"/>
  <c r="AC106" i="134" s="1"/>
  <c r="M107" i="134"/>
  <c r="AC107" i="134" s="1"/>
  <c r="M108" i="134"/>
  <c r="AC108" i="134" s="1"/>
  <c r="M109" i="134"/>
  <c r="AC109" i="134" s="1"/>
  <c r="M110" i="134"/>
  <c r="AC110" i="134" s="1"/>
  <c r="M111" i="134"/>
  <c r="AC111" i="134" s="1"/>
  <c r="M112" i="134"/>
  <c r="AC112" i="134" s="1"/>
  <c r="M113" i="134"/>
  <c r="AC113" i="134" s="1"/>
  <c r="M114" i="134"/>
  <c r="AC114" i="134" s="1"/>
  <c r="M115" i="134"/>
  <c r="AC115" i="134" s="1"/>
  <c r="M116" i="134"/>
  <c r="AC116" i="134" s="1"/>
  <c r="M117" i="134"/>
  <c r="AC117" i="134" s="1"/>
  <c r="M118" i="134"/>
  <c r="AC118" i="134" s="1"/>
  <c r="M119" i="134"/>
  <c r="AC119" i="134" s="1"/>
  <c r="M120" i="134"/>
  <c r="AC120" i="134" s="1"/>
  <c r="M121" i="134"/>
  <c r="AC121" i="134" s="1"/>
  <c r="M122" i="134"/>
  <c r="AC122" i="134" s="1"/>
  <c r="M123" i="134"/>
  <c r="AC123" i="134" s="1"/>
  <c r="M124" i="134"/>
  <c r="AC124" i="134" s="1"/>
  <c r="M125" i="134"/>
  <c r="AC125" i="134" s="1"/>
  <c r="M126" i="134"/>
  <c r="AC126" i="134" s="1"/>
  <c r="M127" i="134"/>
  <c r="AC127" i="134" s="1"/>
  <c r="M128" i="134"/>
  <c r="AC128" i="134" s="1"/>
  <c r="M129" i="134"/>
  <c r="AC129" i="134" s="1"/>
  <c r="M130" i="134"/>
  <c r="M131" i="134"/>
  <c r="AC131" i="134" s="1"/>
  <c r="M132" i="134"/>
  <c r="M133" i="134"/>
  <c r="AC133" i="134" s="1"/>
  <c r="M90" i="134"/>
  <c r="M24" i="134"/>
  <c r="M25" i="134"/>
  <c r="M26" i="134"/>
  <c r="M27" i="134"/>
  <c r="M28" i="134"/>
  <c r="M29" i="134"/>
  <c r="AC29" i="134" s="1"/>
  <c r="M30" i="134"/>
  <c r="M31" i="134"/>
  <c r="M32" i="134"/>
  <c r="M33" i="134"/>
  <c r="M34" i="134"/>
  <c r="M35" i="134"/>
  <c r="M36" i="134"/>
  <c r="M37" i="134"/>
  <c r="AC37" i="134" s="1"/>
  <c r="M38" i="134"/>
  <c r="M39" i="134"/>
  <c r="M40" i="134"/>
  <c r="M41" i="134"/>
  <c r="M42" i="134"/>
  <c r="M43" i="134"/>
  <c r="M44" i="134"/>
  <c r="M45" i="134"/>
  <c r="AC45" i="134" s="1"/>
  <c r="M46" i="134"/>
  <c r="M47" i="134"/>
  <c r="M48" i="134"/>
  <c r="M49" i="134"/>
  <c r="M50" i="134"/>
  <c r="M51" i="134"/>
  <c r="M52" i="134"/>
  <c r="M53" i="134"/>
  <c r="M54" i="134"/>
  <c r="AC56" i="134"/>
  <c r="M57" i="134"/>
  <c r="M58" i="134"/>
  <c r="M59" i="134"/>
  <c r="M60" i="134"/>
  <c r="AC60" i="134" s="1"/>
  <c r="M61" i="134"/>
  <c r="M62" i="134"/>
  <c r="M63" i="134"/>
  <c r="M64" i="134"/>
  <c r="M65" i="134"/>
  <c r="M66" i="134"/>
  <c r="M67" i="134"/>
  <c r="M68" i="134"/>
  <c r="M69" i="134"/>
  <c r="AC69" i="134" s="1"/>
  <c r="M70" i="134"/>
  <c r="AC70" i="134" s="1"/>
  <c r="M71" i="134"/>
  <c r="M72" i="134"/>
  <c r="AC72" i="134" s="1"/>
  <c r="M73" i="134"/>
  <c r="AC73" i="134" s="1"/>
  <c r="M74" i="134"/>
  <c r="AC74" i="134" s="1"/>
  <c r="M75" i="134"/>
  <c r="AC75" i="134" s="1"/>
  <c r="M76" i="134"/>
  <c r="M77" i="134"/>
  <c r="M78" i="134"/>
  <c r="M79" i="134"/>
  <c r="M80" i="134"/>
  <c r="AC80" i="134" s="1"/>
  <c r="M81" i="134"/>
  <c r="AC81" i="134" s="1"/>
  <c r="M82" i="134"/>
  <c r="AC82" i="134" s="1"/>
  <c r="M83" i="134"/>
  <c r="AC83" i="134" s="1"/>
  <c r="M84" i="134"/>
  <c r="AC84" i="134" s="1"/>
  <c r="M85" i="134"/>
  <c r="AC85" i="134" s="1"/>
  <c r="M86" i="134"/>
  <c r="AC86" i="134" s="1"/>
  <c r="M87" i="134"/>
  <c r="AC87" i="134" s="1"/>
  <c r="M88" i="134"/>
  <c r="AC88" i="134" s="1"/>
  <c r="M135" i="134"/>
  <c r="M137" i="134"/>
  <c r="M23" i="134"/>
  <c r="AC172" i="134" l="1"/>
  <c r="Y172" i="134" s="1"/>
  <c r="AY172" i="134" s="1"/>
  <c r="X172" i="134"/>
  <c r="S74" i="142"/>
  <c r="M164" i="134"/>
  <c r="AC58" i="134"/>
  <c r="W189" i="134"/>
  <c r="O162" i="134"/>
  <c r="O157" i="134"/>
  <c r="O146" i="134"/>
  <c r="R146" i="134" s="1"/>
  <c r="O141" i="134"/>
  <c r="O110" i="134"/>
  <c r="O105" i="134"/>
  <c r="O100" i="134"/>
  <c r="O95" i="134"/>
  <c r="O84" i="134"/>
  <c r="O79" i="134"/>
  <c r="O74" i="134"/>
  <c r="O69" i="134"/>
  <c r="O64" i="134"/>
  <c r="O40" i="134"/>
  <c r="O126" i="134"/>
  <c r="O111" i="134"/>
  <c r="O196" i="134"/>
  <c r="O192" i="134"/>
  <c r="O188" i="134"/>
  <c r="O184" i="134"/>
  <c r="O180" i="134"/>
  <c r="O176" i="134"/>
  <c r="O172" i="134"/>
  <c r="O168" i="134"/>
  <c r="O161" i="134"/>
  <c r="O135" i="134"/>
  <c r="O129" i="134"/>
  <c r="O124" i="134"/>
  <c r="O119" i="134"/>
  <c r="O114" i="134"/>
  <c r="O104" i="134"/>
  <c r="O63" i="134"/>
  <c r="O54" i="134"/>
  <c r="O44" i="134"/>
  <c r="O39" i="134"/>
  <c r="O35" i="134"/>
  <c r="O30" i="134"/>
  <c r="O26" i="134"/>
  <c r="O106" i="134"/>
  <c r="O156" i="134"/>
  <c r="O151" i="134"/>
  <c r="O145" i="134"/>
  <c r="O140" i="134"/>
  <c r="O128" i="134"/>
  <c r="O123" i="134"/>
  <c r="O99" i="134"/>
  <c r="O94" i="134"/>
  <c r="O88" i="134"/>
  <c r="O83" i="134"/>
  <c r="O78" i="134"/>
  <c r="O68" i="134"/>
  <c r="O58" i="134"/>
  <c r="R58" i="134" s="1"/>
  <c r="O48" i="134"/>
  <c r="O121" i="134"/>
  <c r="O70" i="134"/>
  <c r="O195" i="134"/>
  <c r="O191" i="134"/>
  <c r="O187" i="134"/>
  <c r="O183" i="134"/>
  <c r="O179" i="134"/>
  <c r="O175" i="134"/>
  <c r="O171" i="134"/>
  <c r="O167" i="134"/>
  <c r="O160" i="134"/>
  <c r="O155" i="134"/>
  <c r="O150" i="134"/>
  <c r="O118" i="134"/>
  <c r="O113" i="134"/>
  <c r="O108" i="134"/>
  <c r="O103" i="134"/>
  <c r="O93" i="134"/>
  <c r="O87" i="134"/>
  <c r="O72" i="134"/>
  <c r="O62" i="134"/>
  <c r="R62" i="134" s="1"/>
  <c r="O53" i="134"/>
  <c r="O47" i="134"/>
  <c r="O43" i="134"/>
  <c r="O38" i="134"/>
  <c r="O34" i="134"/>
  <c r="O29" i="134"/>
  <c r="O101" i="134"/>
  <c r="O144" i="134"/>
  <c r="R144" i="134" s="1"/>
  <c r="O139" i="134"/>
  <c r="R139" i="134" s="1"/>
  <c r="S139" i="134" s="1"/>
  <c r="O132" i="134"/>
  <c r="O127" i="134"/>
  <c r="O122" i="134"/>
  <c r="O112" i="134"/>
  <c r="O107" i="134"/>
  <c r="O82" i="134"/>
  <c r="O77" i="134"/>
  <c r="O71" i="134"/>
  <c r="O24" i="134"/>
  <c r="O158" i="134"/>
  <c r="O116" i="134"/>
  <c r="O96" i="134"/>
  <c r="O194" i="134"/>
  <c r="O190" i="134"/>
  <c r="O186" i="134"/>
  <c r="O182" i="134"/>
  <c r="O178" i="134"/>
  <c r="O174" i="134"/>
  <c r="O170" i="134"/>
  <c r="O166" i="134"/>
  <c r="O159" i="134"/>
  <c r="O154" i="134"/>
  <c r="O149" i="134"/>
  <c r="O138" i="134"/>
  <c r="O131" i="134"/>
  <c r="O102" i="134"/>
  <c r="O97" i="134"/>
  <c r="O92" i="134"/>
  <c r="O86" i="134"/>
  <c r="O76" i="134"/>
  <c r="O66" i="134"/>
  <c r="O61" i="134"/>
  <c r="O56" i="134"/>
  <c r="O46" i="134"/>
  <c r="O42" i="134"/>
  <c r="O37" i="134"/>
  <c r="O28" i="134"/>
  <c r="O193" i="134"/>
  <c r="O189" i="134"/>
  <c r="O185" i="134"/>
  <c r="O181" i="134"/>
  <c r="O177" i="134"/>
  <c r="O173" i="134"/>
  <c r="O169" i="134"/>
  <c r="O153" i="134"/>
  <c r="O147" i="134"/>
  <c r="O142" i="134"/>
  <c r="O137" i="134"/>
  <c r="O130" i="134"/>
  <c r="R130" i="134" s="1"/>
  <c r="O120" i="134"/>
  <c r="O115" i="134"/>
  <c r="O91" i="134"/>
  <c r="O85" i="134"/>
  <c r="O80" i="134"/>
  <c r="O60" i="134"/>
  <c r="O55" i="134"/>
  <c r="O50" i="134"/>
  <c r="O45" i="134"/>
  <c r="O36" i="134"/>
  <c r="O31" i="134"/>
  <c r="O27" i="134"/>
  <c r="O51" i="134"/>
  <c r="O32" i="134"/>
  <c r="O73" i="134"/>
  <c r="O143" i="134"/>
  <c r="O75" i="134"/>
  <c r="O23" i="134"/>
  <c r="O25" i="134"/>
  <c r="O81" i="134"/>
  <c r="O152" i="134"/>
  <c r="O67" i="134"/>
  <c r="O57" i="134"/>
  <c r="O33" i="134"/>
  <c r="O90" i="134"/>
  <c r="O163" i="134"/>
  <c r="O41" i="134"/>
  <c r="O98" i="134"/>
  <c r="O49" i="134"/>
  <c r="O109" i="134"/>
  <c r="O52" i="134"/>
  <c r="O117" i="134"/>
  <c r="O65" i="134"/>
  <c r="O133" i="134"/>
  <c r="O59" i="134"/>
  <c r="R59" i="134" s="1"/>
  <c r="O125" i="134"/>
  <c r="W185" i="134"/>
  <c r="W180" i="134"/>
  <c r="W179" i="134"/>
  <c r="AC78" i="134"/>
  <c r="AC46" i="134"/>
  <c r="AC38" i="134"/>
  <c r="AC30" i="134"/>
  <c r="AC158" i="134"/>
  <c r="AC61" i="134"/>
  <c r="AC132" i="134"/>
  <c r="AC76" i="134"/>
  <c r="Z76" i="134"/>
  <c r="AC68" i="134"/>
  <c r="AC44" i="134"/>
  <c r="AC36" i="134"/>
  <c r="AC28" i="134"/>
  <c r="AC156" i="134"/>
  <c r="AC23" i="134"/>
  <c r="W23" i="134"/>
  <c r="AC51" i="134"/>
  <c r="AC43" i="134"/>
  <c r="AC35" i="134"/>
  <c r="AC27" i="134"/>
  <c r="AC66" i="134"/>
  <c r="AC50" i="134"/>
  <c r="AC42" i="134"/>
  <c r="AC34" i="134"/>
  <c r="AC26" i="134"/>
  <c r="AC162" i="134"/>
  <c r="AC154" i="134"/>
  <c r="AC65" i="134"/>
  <c r="AC57" i="134"/>
  <c r="AC49" i="134"/>
  <c r="AC41" i="134"/>
  <c r="AC33" i="134"/>
  <c r="AC25" i="134"/>
  <c r="AC161" i="134"/>
  <c r="AC153" i="134"/>
  <c r="AC64" i="134"/>
  <c r="AC48" i="134"/>
  <c r="AC40" i="134"/>
  <c r="AC32" i="134"/>
  <c r="AC24" i="134"/>
  <c r="AC160" i="134"/>
  <c r="AC152" i="134"/>
  <c r="AC79" i="134"/>
  <c r="Z79" i="134"/>
  <c r="AC71" i="134"/>
  <c r="AC63" i="134"/>
  <c r="AC47" i="134"/>
  <c r="AC39" i="134"/>
  <c r="AC31" i="134"/>
  <c r="AC159" i="134"/>
  <c r="AC151" i="134"/>
  <c r="W187" i="134"/>
  <c r="AC187" i="134"/>
  <c r="Z80" i="134"/>
  <c r="Z56" i="134"/>
  <c r="W166" i="134"/>
  <c r="W174" i="134"/>
  <c r="W190" i="134"/>
  <c r="Z55" i="134"/>
  <c r="Z106" i="134"/>
  <c r="AA106" i="134" s="1"/>
  <c r="W175" i="134"/>
  <c r="W191" i="134"/>
  <c r="Z86" i="134"/>
  <c r="Z62" i="134"/>
  <c r="Z123" i="134"/>
  <c r="AA123" i="134" s="1"/>
  <c r="W168" i="134"/>
  <c r="Z85" i="134"/>
  <c r="Z77" i="134"/>
  <c r="W169" i="134"/>
  <c r="Z84" i="134"/>
  <c r="Z60" i="134"/>
  <c r="W170" i="134"/>
  <c r="W181" i="134"/>
  <c r="Z83" i="134"/>
  <c r="Z59" i="134"/>
  <c r="W171" i="134"/>
  <c r="Z82" i="134"/>
  <c r="Z58" i="134"/>
  <c r="W172" i="134"/>
  <c r="W196" i="134"/>
  <c r="Z73" i="134"/>
  <c r="W173" i="134"/>
  <c r="O164" i="134" l="1"/>
  <c r="O197" i="134"/>
  <c r="R26" i="134"/>
  <c r="R138" i="134"/>
  <c r="S138" i="134" s="1"/>
  <c r="R140" i="134"/>
  <c r="S140" i="134" s="1"/>
  <c r="R142" i="134"/>
  <c r="S142" i="134" s="1"/>
  <c r="W167" i="134"/>
  <c r="AC32" i="142"/>
  <c r="O198" i="134" l="1"/>
  <c r="AI64" i="142"/>
  <c r="AP64" i="142"/>
  <c r="AP35" i="142"/>
  <c r="AI34" i="142"/>
  <c r="V24" i="142"/>
  <c r="AT17" i="142"/>
  <c r="AG6" i="142"/>
  <c r="AT14" i="142" s="1"/>
  <c r="AP6" i="142" l="1"/>
  <c r="AT15" i="142" s="1"/>
  <c r="AQ64" i="142" l="1"/>
  <c r="AI35" i="142"/>
  <c r="Z34" i="142" l="1"/>
  <c r="AA34" i="142" s="1"/>
  <c r="Z24" i="142" l="1"/>
  <c r="AA74" i="142" s="1"/>
  <c r="W188" i="134" l="1"/>
  <c r="W195" i="134"/>
  <c r="V166" i="134"/>
  <c r="AB197" i="134"/>
  <c r="Y157" i="134"/>
  <c r="AC137" i="134"/>
  <c r="AC149" i="134"/>
  <c r="W192" i="134"/>
  <c r="W182" i="134"/>
  <c r="W183" i="134"/>
  <c r="W177" i="134"/>
  <c r="W178" i="134"/>
  <c r="W184" i="134"/>
  <c r="W186" i="134"/>
  <c r="W193" i="134"/>
  <c r="W194" i="134"/>
  <c r="M166" i="134"/>
  <c r="AC166" i="134" s="1"/>
  <c r="Y166" i="134" s="1"/>
  <c r="AY166" i="134" s="1"/>
  <c r="T166" i="138"/>
  <c r="L166" i="138"/>
  <c r="M166" i="138"/>
  <c r="T166" i="141"/>
  <c r="M166" i="141"/>
  <c r="L166" i="141"/>
  <c r="X135" i="141"/>
  <c r="X136" i="141" s="1"/>
  <c r="W135" i="141"/>
  <c r="W136" i="141" s="1"/>
  <c r="T135" i="141"/>
  <c r="M135" i="141"/>
  <c r="L135" i="141"/>
  <c r="L136" i="141" s="1"/>
  <c r="I135" i="141"/>
  <c r="I136" i="141" s="1"/>
  <c r="H135" i="141"/>
  <c r="H136" i="141" s="1"/>
  <c r="G135" i="141"/>
  <c r="G136" i="141" s="1"/>
  <c r="F135" i="141"/>
  <c r="F136" i="141" s="1"/>
  <c r="E135" i="141"/>
  <c r="P134" i="141"/>
  <c r="U134" i="141" s="1"/>
  <c r="N134" i="141"/>
  <c r="Q133" i="141"/>
  <c r="P133" i="141"/>
  <c r="U133" i="141" s="1"/>
  <c r="N133" i="141"/>
  <c r="Q132" i="141"/>
  <c r="P132" i="141"/>
  <c r="U132" i="141" s="1"/>
  <c r="N132" i="141"/>
  <c r="Q131" i="141"/>
  <c r="P131" i="141"/>
  <c r="U131" i="141" s="1"/>
  <c r="N131" i="141"/>
  <c r="Q130" i="141"/>
  <c r="P130" i="141"/>
  <c r="N130" i="141"/>
  <c r="U129" i="141"/>
  <c r="Q129" i="141"/>
  <c r="P129" i="141"/>
  <c r="N129" i="141"/>
  <c r="Q128" i="141"/>
  <c r="P128" i="141"/>
  <c r="U128" i="141" s="1"/>
  <c r="N128" i="141"/>
  <c r="Q127" i="141"/>
  <c r="P127" i="141"/>
  <c r="U127" i="141" s="1"/>
  <c r="N127" i="141"/>
  <c r="Q126" i="141"/>
  <c r="P126" i="141"/>
  <c r="U126" i="141" s="1"/>
  <c r="N126" i="141"/>
  <c r="Q125" i="141"/>
  <c r="P125" i="141"/>
  <c r="U125" i="141" s="1"/>
  <c r="N125" i="141"/>
  <c r="K125" i="141"/>
  <c r="Q124" i="141"/>
  <c r="P124" i="141"/>
  <c r="U124" i="141" s="1"/>
  <c r="N124" i="141"/>
  <c r="Q123" i="141"/>
  <c r="P123" i="141"/>
  <c r="U123" i="141" s="1"/>
  <c r="N123" i="141"/>
  <c r="Q122" i="141"/>
  <c r="P122" i="141"/>
  <c r="U122" i="141" s="1"/>
  <c r="N122" i="141"/>
  <c r="Q121" i="141"/>
  <c r="P121" i="141"/>
  <c r="U121" i="141" s="1"/>
  <c r="N121" i="141"/>
  <c r="K121" i="141"/>
  <c r="Q120" i="141"/>
  <c r="P120" i="141"/>
  <c r="U120" i="141" s="1"/>
  <c r="N120" i="141"/>
  <c r="Q119" i="141"/>
  <c r="P119" i="141"/>
  <c r="U119" i="141" s="1"/>
  <c r="N119" i="141"/>
  <c r="Q118" i="141"/>
  <c r="P118" i="141"/>
  <c r="U118" i="141" s="1"/>
  <c r="N118" i="141"/>
  <c r="Q117" i="141"/>
  <c r="P117" i="141"/>
  <c r="U117" i="141" s="1"/>
  <c r="N117" i="141"/>
  <c r="Q116" i="141"/>
  <c r="P116" i="141"/>
  <c r="U116" i="141" s="1"/>
  <c r="N116" i="141"/>
  <c r="Q115" i="141"/>
  <c r="P115" i="141"/>
  <c r="U115" i="141" s="1"/>
  <c r="N115" i="141"/>
  <c r="Q114" i="141"/>
  <c r="P114" i="141"/>
  <c r="U114" i="141" s="1"/>
  <c r="N114" i="141"/>
  <c r="Q113" i="141"/>
  <c r="P113" i="141"/>
  <c r="U113" i="141" s="1"/>
  <c r="N113" i="141"/>
  <c r="K113" i="141"/>
  <c r="Q112" i="141"/>
  <c r="P112" i="141"/>
  <c r="U112" i="141" s="1"/>
  <c r="N112" i="141"/>
  <c r="K112" i="141"/>
  <c r="Q111" i="141"/>
  <c r="P111" i="141"/>
  <c r="U111" i="141" s="1"/>
  <c r="N111" i="141"/>
  <c r="K111" i="141"/>
  <c r="Q110" i="141"/>
  <c r="P110" i="141"/>
  <c r="U110" i="141" s="1"/>
  <c r="N110" i="141"/>
  <c r="Q109" i="141"/>
  <c r="P109" i="141"/>
  <c r="U109" i="141" s="1"/>
  <c r="N109" i="141"/>
  <c r="K109" i="141"/>
  <c r="Q108" i="141"/>
  <c r="P108" i="141"/>
  <c r="U108" i="141" s="1"/>
  <c r="N108" i="141"/>
  <c r="K108" i="141"/>
  <c r="Q107" i="141"/>
  <c r="P107" i="141"/>
  <c r="U107" i="141" s="1"/>
  <c r="N107" i="141"/>
  <c r="K107" i="141"/>
  <c r="Q106" i="141"/>
  <c r="P106" i="141"/>
  <c r="U106" i="141" s="1"/>
  <c r="N106" i="141"/>
  <c r="Q105" i="141"/>
  <c r="P105" i="141"/>
  <c r="U105" i="141" s="1"/>
  <c r="N105" i="141"/>
  <c r="K105" i="141"/>
  <c r="Q104" i="141"/>
  <c r="P104" i="141"/>
  <c r="U104" i="141" s="1"/>
  <c r="N104" i="141"/>
  <c r="K104" i="141"/>
  <c r="Q103" i="141"/>
  <c r="P103" i="141"/>
  <c r="U103" i="141" s="1"/>
  <c r="N103" i="141"/>
  <c r="K103" i="141"/>
  <c r="Q102" i="141"/>
  <c r="P102" i="141"/>
  <c r="U102" i="141" s="1"/>
  <c r="N102" i="141"/>
  <c r="Q101" i="141"/>
  <c r="P101" i="141"/>
  <c r="U101" i="141" s="1"/>
  <c r="N101" i="141"/>
  <c r="K101" i="141"/>
  <c r="Q100" i="141"/>
  <c r="P100" i="141"/>
  <c r="U100" i="141" s="1"/>
  <c r="N100" i="141"/>
  <c r="K100" i="141"/>
  <c r="Q99" i="141"/>
  <c r="P99" i="141"/>
  <c r="U99" i="141" s="1"/>
  <c r="N99" i="141"/>
  <c r="K99" i="141"/>
  <c r="Q98" i="141"/>
  <c r="P98" i="141"/>
  <c r="U98" i="141" s="1"/>
  <c r="N98" i="141"/>
  <c r="Q97" i="141"/>
  <c r="P97" i="141"/>
  <c r="U97" i="141" s="1"/>
  <c r="N97" i="141"/>
  <c r="K97" i="141"/>
  <c r="Q96" i="141"/>
  <c r="P96" i="141"/>
  <c r="U96" i="141" s="1"/>
  <c r="N96" i="141"/>
  <c r="K96" i="141"/>
  <c r="Q95" i="141"/>
  <c r="P95" i="141"/>
  <c r="U95" i="141" s="1"/>
  <c r="N95" i="141"/>
  <c r="K95" i="141"/>
  <c r="Q94" i="141"/>
  <c r="P94" i="141"/>
  <c r="U94" i="141" s="1"/>
  <c r="N94" i="141"/>
  <c r="Q93" i="141"/>
  <c r="P93" i="141"/>
  <c r="U93" i="141" s="1"/>
  <c r="N93" i="141"/>
  <c r="K93" i="141"/>
  <c r="Q92" i="141"/>
  <c r="P92" i="141"/>
  <c r="U92" i="141" s="1"/>
  <c r="N92" i="141"/>
  <c r="K92" i="141"/>
  <c r="Q91" i="141"/>
  <c r="P91" i="141"/>
  <c r="U91" i="141" s="1"/>
  <c r="N91" i="141"/>
  <c r="K91" i="141"/>
  <c r="Q90" i="141"/>
  <c r="P90" i="141"/>
  <c r="U90" i="141" s="1"/>
  <c r="N90" i="141"/>
  <c r="Q89" i="141"/>
  <c r="P89" i="141"/>
  <c r="U89" i="141" s="1"/>
  <c r="N89" i="141"/>
  <c r="K89" i="141"/>
  <c r="Q88" i="141"/>
  <c r="P88" i="141"/>
  <c r="U88" i="141" s="1"/>
  <c r="N88" i="141"/>
  <c r="K88" i="141"/>
  <c r="Q87" i="141"/>
  <c r="P87" i="141"/>
  <c r="U87" i="141" s="1"/>
  <c r="N87" i="141"/>
  <c r="K87" i="141"/>
  <c r="Q86" i="141"/>
  <c r="P86" i="141"/>
  <c r="U86" i="141" s="1"/>
  <c r="N86" i="141"/>
  <c r="Q85" i="141"/>
  <c r="P85" i="141"/>
  <c r="U85" i="141" s="1"/>
  <c r="N85" i="141"/>
  <c r="K85" i="141"/>
  <c r="Q84" i="141"/>
  <c r="P84" i="141"/>
  <c r="U84" i="141" s="1"/>
  <c r="N84" i="141"/>
  <c r="K84" i="141"/>
  <c r="Q83" i="141"/>
  <c r="P83" i="141"/>
  <c r="U83" i="141" s="1"/>
  <c r="N83" i="141"/>
  <c r="K83" i="141"/>
  <c r="Q82" i="141"/>
  <c r="P82" i="141"/>
  <c r="U82" i="141" s="1"/>
  <c r="N82" i="141"/>
  <c r="Q81" i="141"/>
  <c r="P81" i="141"/>
  <c r="U81" i="141" s="1"/>
  <c r="N81" i="141"/>
  <c r="K81" i="141"/>
  <c r="Q80" i="141"/>
  <c r="P80" i="141"/>
  <c r="U80" i="141" s="1"/>
  <c r="N80" i="141"/>
  <c r="K80" i="141"/>
  <c r="Q79" i="141"/>
  <c r="P79" i="141"/>
  <c r="U79" i="141" s="1"/>
  <c r="N79" i="141"/>
  <c r="K79" i="141"/>
  <c r="Q78" i="141"/>
  <c r="P78" i="141"/>
  <c r="U78" i="141" s="1"/>
  <c r="N78" i="141"/>
  <c r="Q77" i="141"/>
  <c r="P77" i="141"/>
  <c r="U77" i="141" s="1"/>
  <c r="N77" i="141"/>
  <c r="K77" i="141"/>
  <c r="Q76" i="141"/>
  <c r="P76" i="141"/>
  <c r="U76" i="141" s="1"/>
  <c r="N76" i="141"/>
  <c r="K76" i="141"/>
  <c r="Q75" i="141"/>
  <c r="P75" i="141"/>
  <c r="U75" i="141" s="1"/>
  <c r="N75" i="141"/>
  <c r="K75" i="141"/>
  <c r="Q74" i="141"/>
  <c r="P74" i="141"/>
  <c r="U74" i="141" s="1"/>
  <c r="N74" i="141"/>
  <c r="Q73" i="141"/>
  <c r="P73" i="141"/>
  <c r="U73" i="141" s="1"/>
  <c r="N73" i="141"/>
  <c r="K73" i="141"/>
  <c r="Q72" i="141"/>
  <c r="P72" i="141"/>
  <c r="U72" i="141" s="1"/>
  <c r="N72" i="141"/>
  <c r="K72" i="141"/>
  <c r="Q71" i="141"/>
  <c r="P71" i="141"/>
  <c r="U71" i="141" s="1"/>
  <c r="N71" i="141"/>
  <c r="K71" i="141"/>
  <c r="Q70" i="141"/>
  <c r="P70" i="141"/>
  <c r="U70" i="141" s="1"/>
  <c r="N70" i="141"/>
  <c r="Q69" i="141"/>
  <c r="P69" i="141"/>
  <c r="U69" i="141" s="1"/>
  <c r="N69" i="141"/>
  <c r="K69" i="141"/>
  <c r="Q68" i="141"/>
  <c r="P68" i="141"/>
  <c r="U68" i="141" s="1"/>
  <c r="N68" i="141"/>
  <c r="K68" i="141"/>
  <c r="Q67" i="141"/>
  <c r="P67" i="141"/>
  <c r="U67" i="141" s="1"/>
  <c r="N67" i="141"/>
  <c r="K67" i="141"/>
  <c r="Q66" i="141"/>
  <c r="P66" i="141"/>
  <c r="U66" i="141" s="1"/>
  <c r="N66" i="141"/>
  <c r="Q65" i="141"/>
  <c r="P65" i="141"/>
  <c r="U65" i="141" s="1"/>
  <c r="N65" i="141"/>
  <c r="K65" i="141"/>
  <c r="Q64" i="141"/>
  <c r="P64" i="141"/>
  <c r="U64" i="141" s="1"/>
  <c r="N64" i="141"/>
  <c r="K64" i="141"/>
  <c r="Q63" i="141"/>
  <c r="P63" i="141"/>
  <c r="U63" i="141" s="1"/>
  <c r="N63" i="141"/>
  <c r="K63" i="141"/>
  <c r="Q62" i="141"/>
  <c r="P62" i="141"/>
  <c r="U62" i="141" s="1"/>
  <c r="N62" i="141"/>
  <c r="Q61" i="141"/>
  <c r="P61" i="141"/>
  <c r="U61" i="141" s="1"/>
  <c r="N61" i="141"/>
  <c r="K61" i="141"/>
  <c r="Q60" i="141"/>
  <c r="P60" i="141"/>
  <c r="U60" i="141" s="1"/>
  <c r="N60" i="141"/>
  <c r="K60" i="141"/>
  <c r="Q59" i="141"/>
  <c r="P59" i="141"/>
  <c r="U59" i="141" s="1"/>
  <c r="N59" i="141"/>
  <c r="K59" i="141"/>
  <c r="Q58" i="141"/>
  <c r="P58" i="141"/>
  <c r="U58" i="141" s="1"/>
  <c r="N58" i="141"/>
  <c r="Q57" i="141"/>
  <c r="P57" i="141"/>
  <c r="U57" i="141" s="1"/>
  <c r="N57" i="141"/>
  <c r="K57" i="141"/>
  <c r="Q56" i="141"/>
  <c r="P56" i="141"/>
  <c r="U56" i="141" s="1"/>
  <c r="N56" i="141"/>
  <c r="K56" i="141"/>
  <c r="Q55" i="141"/>
  <c r="P55" i="141"/>
  <c r="U55" i="141" s="1"/>
  <c r="N55" i="141"/>
  <c r="K55" i="141"/>
  <c r="Q54" i="141"/>
  <c r="P54" i="141"/>
  <c r="U54" i="141" s="1"/>
  <c r="N54" i="141"/>
  <c r="Q53" i="141"/>
  <c r="P53" i="141"/>
  <c r="U53" i="141" s="1"/>
  <c r="N53" i="141"/>
  <c r="K53" i="141"/>
  <c r="Q52" i="141"/>
  <c r="P52" i="141"/>
  <c r="U52" i="141" s="1"/>
  <c r="N52" i="141"/>
  <c r="K52" i="141"/>
  <c r="Q51" i="141"/>
  <c r="P51" i="141"/>
  <c r="U51" i="141" s="1"/>
  <c r="N51" i="141"/>
  <c r="K51" i="141"/>
  <c r="U50" i="141"/>
  <c r="Q50" i="141"/>
  <c r="P50" i="141"/>
  <c r="N50" i="141"/>
  <c r="K50" i="141"/>
  <c r="Q49" i="141"/>
  <c r="P49" i="141"/>
  <c r="U49" i="141" s="1"/>
  <c r="N49" i="141"/>
  <c r="K49" i="141"/>
  <c r="Q48" i="141"/>
  <c r="P48" i="141"/>
  <c r="U48" i="141" s="1"/>
  <c r="N48" i="141"/>
  <c r="K48" i="141"/>
  <c r="Q47" i="141"/>
  <c r="P47" i="141"/>
  <c r="U47" i="141" s="1"/>
  <c r="N47" i="141"/>
  <c r="K47" i="141"/>
  <c r="AA46" i="141"/>
  <c r="Y46" i="141"/>
  <c r="Q46" i="141"/>
  <c r="P46" i="141"/>
  <c r="U46" i="141" s="1"/>
  <c r="N46" i="141"/>
  <c r="Y45" i="141"/>
  <c r="U45" i="141"/>
  <c r="Q45" i="141"/>
  <c r="P45" i="141"/>
  <c r="N45" i="141"/>
  <c r="K45" i="141"/>
  <c r="AI45" i="141" s="1"/>
  <c r="Q44" i="141"/>
  <c r="P44" i="141"/>
  <c r="U44" i="141" s="1"/>
  <c r="N44" i="141"/>
  <c r="K44" i="141"/>
  <c r="Q43" i="141"/>
  <c r="P43" i="141"/>
  <c r="U43" i="141" s="1"/>
  <c r="N43" i="141"/>
  <c r="K43" i="141"/>
  <c r="Q42" i="141"/>
  <c r="P42" i="141"/>
  <c r="U42" i="141" s="1"/>
  <c r="N42" i="141"/>
  <c r="K42" i="141"/>
  <c r="Q41" i="141"/>
  <c r="P41" i="141"/>
  <c r="N41" i="141"/>
  <c r="K41" i="141"/>
  <c r="Q40" i="141"/>
  <c r="P40" i="141"/>
  <c r="U40" i="141" s="1"/>
  <c r="N40" i="141"/>
  <c r="K40" i="141"/>
  <c r="Q39" i="141"/>
  <c r="P39" i="141"/>
  <c r="U39" i="141" s="1"/>
  <c r="N39" i="141"/>
  <c r="K39" i="141"/>
  <c r="Q38" i="141"/>
  <c r="P38" i="141"/>
  <c r="N38" i="141"/>
  <c r="K38" i="141"/>
  <c r="Y37" i="141"/>
  <c r="Q37" i="141"/>
  <c r="P37" i="141"/>
  <c r="U37" i="141" s="1"/>
  <c r="N37" i="141"/>
  <c r="K37" i="141"/>
  <c r="AI37" i="141" s="1"/>
  <c r="Q36" i="141"/>
  <c r="P36" i="141"/>
  <c r="U36" i="141" s="1"/>
  <c r="N36" i="141"/>
  <c r="K36" i="141"/>
  <c r="Q35" i="141"/>
  <c r="P35" i="141"/>
  <c r="U35" i="141" s="1"/>
  <c r="N35" i="141"/>
  <c r="K35" i="141"/>
  <c r="Q34" i="141"/>
  <c r="P34" i="141"/>
  <c r="U34" i="141" s="1"/>
  <c r="N34" i="141"/>
  <c r="K34" i="141"/>
  <c r="AA33" i="141"/>
  <c r="Q33" i="141"/>
  <c r="AH33" i="141" s="1"/>
  <c r="P33" i="141"/>
  <c r="U33" i="141" s="1"/>
  <c r="N33" i="141"/>
  <c r="K33" i="141"/>
  <c r="Q32" i="141"/>
  <c r="P32" i="141"/>
  <c r="U32" i="141" s="1"/>
  <c r="N32" i="141"/>
  <c r="AA31" i="141"/>
  <c r="Q31" i="141"/>
  <c r="P31" i="141"/>
  <c r="U31" i="141" s="1"/>
  <c r="N31" i="141"/>
  <c r="U30" i="141"/>
  <c r="Q30" i="141"/>
  <c r="P30" i="141"/>
  <c r="N30" i="141"/>
  <c r="Q29" i="141"/>
  <c r="P29" i="141"/>
  <c r="U29" i="141" s="1"/>
  <c r="N29" i="141"/>
  <c r="Q28" i="141"/>
  <c r="P28" i="141"/>
  <c r="U28" i="141" s="1"/>
  <c r="N28" i="141"/>
  <c r="Q27" i="141"/>
  <c r="P27" i="141"/>
  <c r="U27" i="141" s="1"/>
  <c r="N27" i="141"/>
  <c r="U26" i="141"/>
  <c r="Q26" i="141"/>
  <c r="P26" i="141"/>
  <c r="N26" i="141"/>
  <c r="Q25" i="141"/>
  <c r="P25" i="141"/>
  <c r="U25" i="141" s="1"/>
  <c r="N25" i="141"/>
  <c r="Q24" i="141"/>
  <c r="P24" i="141"/>
  <c r="U24" i="141" s="1"/>
  <c r="N24" i="141"/>
  <c r="P23" i="141"/>
  <c r="U23" i="141" s="1"/>
  <c r="N23" i="141"/>
  <c r="K23" i="141"/>
  <c r="K166" i="141" s="1"/>
  <c r="P22" i="141"/>
  <c r="N22" i="141"/>
  <c r="K22" i="141"/>
  <c r="U18" i="141"/>
  <c r="T166" i="140"/>
  <c r="L166" i="140"/>
  <c r="M166" i="140"/>
  <c r="X135" i="140"/>
  <c r="X136" i="140" s="1"/>
  <c r="W135" i="140"/>
  <c r="W136" i="140" s="1"/>
  <c r="T135" i="140"/>
  <c r="T136" i="140" s="1"/>
  <c r="M135" i="140"/>
  <c r="L135" i="140"/>
  <c r="L136" i="140" s="1"/>
  <c r="I135" i="140"/>
  <c r="I136" i="140" s="1"/>
  <c r="H135" i="140"/>
  <c r="H136" i="140" s="1"/>
  <c r="G135" i="140"/>
  <c r="G136" i="140" s="1"/>
  <c r="F135" i="140"/>
  <c r="F136" i="140" s="1"/>
  <c r="E135" i="140"/>
  <c r="P134" i="140"/>
  <c r="U134" i="140" s="1"/>
  <c r="N134" i="140"/>
  <c r="Q133" i="140"/>
  <c r="P133" i="140"/>
  <c r="U133" i="140" s="1"/>
  <c r="N133" i="140"/>
  <c r="Q132" i="140"/>
  <c r="P132" i="140"/>
  <c r="U132" i="140" s="1"/>
  <c r="N132" i="140"/>
  <c r="Q131" i="140"/>
  <c r="P131" i="140"/>
  <c r="U131" i="140" s="1"/>
  <c r="N131" i="140"/>
  <c r="Q130" i="140"/>
  <c r="P130" i="140"/>
  <c r="N130" i="140"/>
  <c r="Q129" i="140"/>
  <c r="P129" i="140"/>
  <c r="U129" i="140" s="1"/>
  <c r="N129" i="140"/>
  <c r="Q128" i="140"/>
  <c r="P128" i="140"/>
  <c r="U128" i="140" s="1"/>
  <c r="N128" i="140"/>
  <c r="Q127" i="140"/>
  <c r="P127" i="140"/>
  <c r="U127" i="140" s="1"/>
  <c r="N127" i="140"/>
  <c r="Q126" i="140"/>
  <c r="P126" i="140"/>
  <c r="U126" i="140" s="1"/>
  <c r="N126" i="140"/>
  <c r="Q125" i="140"/>
  <c r="P125" i="140"/>
  <c r="U125" i="140" s="1"/>
  <c r="N125" i="140"/>
  <c r="Q124" i="140"/>
  <c r="P124" i="140"/>
  <c r="U124" i="140" s="1"/>
  <c r="N124" i="140"/>
  <c r="Q123" i="140"/>
  <c r="P123" i="140"/>
  <c r="U123" i="140" s="1"/>
  <c r="N123" i="140"/>
  <c r="Q122" i="140"/>
  <c r="P122" i="140"/>
  <c r="U122" i="140" s="1"/>
  <c r="N122" i="140"/>
  <c r="Q121" i="140"/>
  <c r="P121" i="140"/>
  <c r="U121" i="140" s="1"/>
  <c r="N121" i="140"/>
  <c r="Q120" i="140"/>
  <c r="P120" i="140"/>
  <c r="U120" i="140" s="1"/>
  <c r="N120" i="140"/>
  <c r="Q119" i="140"/>
  <c r="P119" i="140"/>
  <c r="U119" i="140" s="1"/>
  <c r="N119" i="140"/>
  <c r="Q118" i="140"/>
  <c r="P118" i="140"/>
  <c r="U118" i="140" s="1"/>
  <c r="N118" i="140"/>
  <c r="Q117" i="140"/>
  <c r="P117" i="140"/>
  <c r="U117" i="140" s="1"/>
  <c r="N117" i="140"/>
  <c r="Q116" i="140"/>
  <c r="P116" i="140"/>
  <c r="U116" i="140" s="1"/>
  <c r="N116" i="140"/>
  <c r="Q115" i="140"/>
  <c r="P115" i="140"/>
  <c r="U115" i="140" s="1"/>
  <c r="N115" i="140"/>
  <c r="Q114" i="140"/>
  <c r="P114" i="140"/>
  <c r="U114" i="140" s="1"/>
  <c r="N114" i="140"/>
  <c r="Q113" i="140"/>
  <c r="P113" i="140"/>
  <c r="U113" i="140" s="1"/>
  <c r="N113" i="140"/>
  <c r="Q112" i="140"/>
  <c r="P112" i="140"/>
  <c r="U112" i="140" s="1"/>
  <c r="N112" i="140"/>
  <c r="Q111" i="140"/>
  <c r="P111" i="140"/>
  <c r="U111" i="140" s="1"/>
  <c r="N111" i="140"/>
  <c r="Q110" i="140"/>
  <c r="P110" i="140"/>
  <c r="U110" i="140" s="1"/>
  <c r="N110" i="140"/>
  <c r="Q109" i="140"/>
  <c r="P109" i="140"/>
  <c r="U109" i="140" s="1"/>
  <c r="N109" i="140"/>
  <c r="Q108" i="140"/>
  <c r="P108" i="140"/>
  <c r="U108" i="140" s="1"/>
  <c r="N108" i="140"/>
  <c r="Q107" i="140"/>
  <c r="P107" i="140"/>
  <c r="U107" i="140" s="1"/>
  <c r="N107" i="140"/>
  <c r="Q106" i="140"/>
  <c r="P106" i="140"/>
  <c r="U106" i="140" s="1"/>
  <c r="N106" i="140"/>
  <c r="Q105" i="140"/>
  <c r="P105" i="140"/>
  <c r="U105" i="140" s="1"/>
  <c r="N105" i="140"/>
  <c r="Q104" i="140"/>
  <c r="P104" i="140"/>
  <c r="U104" i="140" s="1"/>
  <c r="N104" i="140"/>
  <c r="Q103" i="140"/>
  <c r="P103" i="140"/>
  <c r="U103" i="140" s="1"/>
  <c r="N103" i="140"/>
  <c r="Q102" i="140"/>
  <c r="P102" i="140"/>
  <c r="U102" i="140" s="1"/>
  <c r="N102" i="140"/>
  <c r="Q101" i="140"/>
  <c r="P101" i="140"/>
  <c r="U101" i="140" s="1"/>
  <c r="N101" i="140"/>
  <c r="Q100" i="140"/>
  <c r="P100" i="140"/>
  <c r="U100" i="140" s="1"/>
  <c r="N100" i="140"/>
  <c r="K100" i="140"/>
  <c r="Q99" i="140"/>
  <c r="P99" i="140"/>
  <c r="U99" i="140" s="1"/>
  <c r="N99" i="140"/>
  <c r="Q98" i="140"/>
  <c r="P98" i="140"/>
  <c r="U98" i="140" s="1"/>
  <c r="N98" i="140"/>
  <c r="Q97" i="140"/>
  <c r="P97" i="140"/>
  <c r="U97" i="140" s="1"/>
  <c r="N97" i="140"/>
  <c r="Q96" i="140"/>
  <c r="P96" i="140"/>
  <c r="U96" i="140" s="1"/>
  <c r="N96" i="140"/>
  <c r="Q95" i="140"/>
  <c r="P95" i="140"/>
  <c r="U95" i="140" s="1"/>
  <c r="N95" i="140"/>
  <c r="Q94" i="140"/>
  <c r="P94" i="140"/>
  <c r="U94" i="140" s="1"/>
  <c r="N94" i="140"/>
  <c r="Q93" i="140"/>
  <c r="P93" i="140"/>
  <c r="U93" i="140" s="1"/>
  <c r="N93" i="140"/>
  <c r="Q92" i="140"/>
  <c r="P92" i="140"/>
  <c r="U92" i="140" s="1"/>
  <c r="N92" i="140"/>
  <c r="Q91" i="140"/>
  <c r="P91" i="140"/>
  <c r="U91" i="140" s="1"/>
  <c r="N91" i="140"/>
  <c r="Q90" i="140"/>
  <c r="P90" i="140"/>
  <c r="U90" i="140" s="1"/>
  <c r="N90" i="140"/>
  <c r="Q89" i="140"/>
  <c r="P89" i="140"/>
  <c r="U89" i="140" s="1"/>
  <c r="N89" i="140"/>
  <c r="K89" i="140"/>
  <c r="Q88" i="140"/>
  <c r="P88" i="140"/>
  <c r="U88" i="140" s="1"/>
  <c r="N88" i="140"/>
  <c r="Q87" i="140"/>
  <c r="P87" i="140"/>
  <c r="U87" i="140" s="1"/>
  <c r="N87" i="140"/>
  <c r="K87" i="140"/>
  <c r="Q86" i="140"/>
  <c r="P86" i="140"/>
  <c r="U86" i="140" s="1"/>
  <c r="N86" i="140"/>
  <c r="Q85" i="140"/>
  <c r="P85" i="140"/>
  <c r="U85" i="140" s="1"/>
  <c r="N85" i="140"/>
  <c r="Q84" i="140"/>
  <c r="P84" i="140"/>
  <c r="U84" i="140" s="1"/>
  <c r="N84" i="140"/>
  <c r="Q83" i="140"/>
  <c r="P83" i="140"/>
  <c r="U83" i="140" s="1"/>
  <c r="N83" i="140"/>
  <c r="Q82" i="140"/>
  <c r="P82" i="140"/>
  <c r="U82" i="140" s="1"/>
  <c r="N82" i="140"/>
  <c r="Q81" i="140"/>
  <c r="P81" i="140"/>
  <c r="U81" i="140" s="1"/>
  <c r="N81" i="140"/>
  <c r="Q80" i="140"/>
  <c r="P80" i="140"/>
  <c r="U80" i="140" s="1"/>
  <c r="N80" i="140"/>
  <c r="K80" i="140"/>
  <c r="Q79" i="140"/>
  <c r="P79" i="140"/>
  <c r="U79" i="140" s="1"/>
  <c r="N79" i="140"/>
  <c r="Q78" i="140"/>
  <c r="P78" i="140"/>
  <c r="U78" i="140" s="1"/>
  <c r="N78" i="140"/>
  <c r="Q77" i="140"/>
  <c r="P77" i="140"/>
  <c r="U77" i="140" s="1"/>
  <c r="N77" i="140"/>
  <c r="Q76" i="140"/>
  <c r="P76" i="140"/>
  <c r="U76" i="140" s="1"/>
  <c r="N76" i="140"/>
  <c r="Q75" i="140"/>
  <c r="P75" i="140"/>
  <c r="U75" i="140" s="1"/>
  <c r="N75" i="140"/>
  <c r="Q74" i="140"/>
  <c r="P74" i="140"/>
  <c r="U74" i="140" s="1"/>
  <c r="N74" i="140"/>
  <c r="Q73" i="140"/>
  <c r="P73" i="140"/>
  <c r="U73" i="140" s="1"/>
  <c r="N73" i="140"/>
  <c r="Q72" i="140"/>
  <c r="P72" i="140"/>
  <c r="U72" i="140" s="1"/>
  <c r="N72" i="140"/>
  <c r="Q71" i="140"/>
  <c r="P71" i="140"/>
  <c r="U71" i="140" s="1"/>
  <c r="N71" i="140"/>
  <c r="Q70" i="140"/>
  <c r="P70" i="140"/>
  <c r="U70" i="140" s="1"/>
  <c r="N70" i="140"/>
  <c r="Q69" i="140"/>
  <c r="P69" i="140"/>
  <c r="U69" i="140" s="1"/>
  <c r="N69" i="140"/>
  <c r="K69" i="140"/>
  <c r="Q68" i="140"/>
  <c r="P68" i="140"/>
  <c r="U68" i="140" s="1"/>
  <c r="N68" i="140"/>
  <c r="Q67" i="140"/>
  <c r="P67" i="140"/>
  <c r="U67" i="140" s="1"/>
  <c r="N67" i="140"/>
  <c r="K67" i="140"/>
  <c r="Q66" i="140"/>
  <c r="P66" i="140"/>
  <c r="U66" i="140" s="1"/>
  <c r="N66" i="140"/>
  <c r="Q65" i="140"/>
  <c r="P65" i="140"/>
  <c r="U65" i="140" s="1"/>
  <c r="N65" i="140"/>
  <c r="K65" i="140"/>
  <c r="Q64" i="140"/>
  <c r="P64" i="140"/>
  <c r="U64" i="140" s="1"/>
  <c r="N64" i="140"/>
  <c r="Q63" i="140"/>
  <c r="P63" i="140"/>
  <c r="U63" i="140" s="1"/>
  <c r="N63" i="140"/>
  <c r="K63" i="140"/>
  <c r="Q62" i="140"/>
  <c r="P62" i="140"/>
  <c r="U62" i="140" s="1"/>
  <c r="N62" i="140"/>
  <c r="Q61" i="140"/>
  <c r="P61" i="140"/>
  <c r="U61" i="140" s="1"/>
  <c r="N61" i="140"/>
  <c r="K61" i="140"/>
  <c r="Q60" i="140"/>
  <c r="P60" i="140"/>
  <c r="U60" i="140" s="1"/>
  <c r="N60" i="140"/>
  <c r="Q59" i="140"/>
  <c r="P59" i="140"/>
  <c r="U59" i="140" s="1"/>
  <c r="N59" i="140"/>
  <c r="K59" i="140"/>
  <c r="Q58" i="140"/>
  <c r="P58" i="140"/>
  <c r="U58" i="140" s="1"/>
  <c r="N58" i="140"/>
  <c r="Q57" i="140"/>
  <c r="P57" i="140"/>
  <c r="U57" i="140" s="1"/>
  <c r="N57" i="140"/>
  <c r="Q56" i="140"/>
  <c r="P56" i="140"/>
  <c r="U56" i="140" s="1"/>
  <c r="N56" i="140"/>
  <c r="K56" i="140"/>
  <c r="Q55" i="140"/>
  <c r="P55" i="140"/>
  <c r="U55" i="140" s="1"/>
  <c r="N55" i="140"/>
  <c r="Q54" i="140"/>
  <c r="P54" i="140"/>
  <c r="U54" i="140" s="1"/>
  <c r="N54" i="140"/>
  <c r="Q53" i="140"/>
  <c r="P53" i="140"/>
  <c r="U53" i="140" s="1"/>
  <c r="N53" i="140"/>
  <c r="Q52" i="140"/>
  <c r="P52" i="140"/>
  <c r="U52" i="140" s="1"/>
  <c r="N52" i="140"/>
  <c r="K52" i="140"/>
  <c r="Q51" i="140"/>
  <c r="P51" i="140"/>
  <c r="U51" i="140" s="1"/>
  <c r="N51" i="140"/>
  <c r="Q50" i="140"/>
  <c r="P50" i="140"/>
  <c r="U50" i="140" s="1"/>
  <c r="N50" i="140"/>
  <c r="K50" i="140"/>
  <c r="Q49" i="140"/>
  <c r="P49" i="140"/>
  <c r="U49" i="140" s="1"/>
  <c r="N49" i="140"/>
  <c r="Q48" i="140"/>
  <c r="P48" i="140"/>
  <c r="U48" i="140" s="1"/>
  <c r="N48" i="140"/>
  <c r="K48" i="140"/>
  <c r="Q47" i="140"/>
  <c r="P47" i="140"/>
  <c r="U47" i="140" s="1"/>
  <c r="N47" i="140"/>
  <c r="Y46" i="140"/>
  <c r="AA46" i="140" s="1"/>
  <c r="Q46" i="140"/>
  <c r="P46" i="140"/>
  <c r="U46" i="140" s="1"/>
  <c r="N46" i="140"/>
  <c r="K46" i="140"/>
  <c r="AI46" i="140" s="1"/>
  <c r="Y45" i="140"/>
  <c r="Q45" i="140"/>
  <c r="P45" i="140"/>
  <c r="U45" i="140" s="1"/>
  <c r="N45" i="140"/>
  <c r="Q44" i="140"/>
  <c r="P44" i="140"/>
  <c r="U44" i="140" s="1"/>
  <c r="N44" i="140"/>
  <c r="Q43" i="140"/>
  <c r="P43" i="140"/>
  <c r="U43" i="140" s="1"/>
  <c r="N43" i="140"/>
  <c r="Q42" i="140"/>
  <c r="P42" i="140"/>
  <c r="U42" i="140" s="1"/>
  <c r="N42" i="140"/>
  <c r="Q41" i="140"/>
  <c r="P41" i="140"/>
  <c r="U41" i="140" s="1"/>
  <c r="N41" i="140"/>
  <c r="Q40" i="140"/>
  <c r="P40" i="140"/>
  <c r="U40" i="140" s="1"/>
  <c r="N40" i="140"/>
  <c r="Q39" i="140"/>
  <c r="P39" i="140"/>
  <c r="U39" i="140" s="1"/>
  <c r="N39" i="140"/>
  <c r="Q38" i="140"/>
  <c r="P38" i="140"/>
  <c r="U38" i="140" s="1"/>
  <c r="N38" i="140"/>
  <c r="Y37" i="140"/>
  <c r="Q37" i="140"/>
  <c r="P37" i="140"/>
  <c r="U37" i="140" s="1"/>
  <c r="N37" i="140"/>
  <c r="K37" i="140"/>
  <c r="AI37" i="140" s="1"/>
  <c r="Q36" i="140"/>
  <c r="P36" i="140"/>
  <c r="U36" i="140" s="1"/>
  <c r="N36" i="140"/>
  <c r="K36" i="140"/>
  <c r="Q35" i="140"/>
  <c r="P35" i="140"/>
  <c r="U35" i="140" s="1"/>
  <c r="N35" i="140"/>
  <c r="K35" i="140"/>
  <c r="Q34" i="140"/>
  <c r="P34" i="140"/>
  <c r="U34" i="140" s="1"/>
  <c r="N34" i="140"/>
  <c r="K34" i="140"/>
  <c r="AA33" i="140"/>
  <c r="Q33" i="140"/>
  <c r="AH33" i="140" s="1"/>
  <c r="P33" i="140"/>
  <c r="U33" i="140" s="1"/>
  <c r="N33" i="140"/>
  <c r="K33" i="140"/>
  <c r="Q32" i="140"/>
  <c r="AH32" i="140" s="1"/>
  <c r="P32" i="140"/>
  <c r="U32" i="140" s="1"/>
  <c r="N32" i="140"/>
  <c r="AA31" i="140"/>
  <c r="Q31" i="140"/>
  <c r="P31" i="140"/>
  <c r="U31" i="140" s="1"/>
  <c r="N31" i="140"/>
  <c r="K31" i="140"/>
  <c r="U30" i="140"/>
  <c r="Q30" i="140"/>
  <c r="P30" i="140"/>
  <c r="N30" i="140"/>
  <c r="Q29" i="140"/>
  <c r="P29" i="140"/>
  <c r="U29" i="140" s="1"/>
  <c r="N29" i="140"/>
  <c r="K29" i="140"/>
  <c r="Q28" i="140"/>
  <c r="P28" i="140"/>
  <c r="U28" i="140" s="1"/>
  <c r="N28" i="140"/>
  <c r="Q27" i="140"/>
  <c r="P27" i="140"/>
  <c r="U27" i="140" s="1"/>
  <c r="N27" i="140"/>
  <c r="K27" i="140"/>
  <c r="U26" i="140"/>
  <c r="Q26" i="140"/>
  <c r="P26" i="140"/>
  <c r="N26" i="140"/>
  <c r="K26" i="140"/>
  <c r="Q25" i="140"/>
  <c r="P25" i="140"/>
  <c r="U25" i="140" s="1"/>
  <c r="N25" i="140"/>
  <c r="K25" i="140"/>
  <c r="Q24" i="140"/>
  <c r="P24" i="140"/>
  <c r="U24" i="140" s="1"/>
  <c r="N24" i="140"/>
  <c r="K24" i="140"/>
  <c r="P23" i="140"/>
  <c r="N23" i="140"/>
  <c r="K23" i="140"/>
  <c r="P22" i="140"/>
  <c r="U22" i="140" s="1"/>
  <c r="N22" i="140"/>
  <c r="T166" i="139"/>
  <c r="M166" i="139"/>
  <c r="L166" i="139"/>
  <c r="T166" i="137"/>
  <c r="M166" i="137"/>
  <c r="L166" i="137"/>
  <c r="X135" i="139"/>
  <c r="X136" i="139" s="1"/>
  <c r="W135" i="139"/>
  <c r="W136" i="139" s="1"/>
  <c r="T135" i="139"/>
  <c r="T136" i="139" s="1"/>
  <c r="M135" i="139"/>
  <c r="L135" i="139"/>
  <c r="L136" i="139" s="1"/>
  <c r="I135" i="139"/>
  <c r="I136" i="139" s="1"/>
  <c r="H135" i="139"/>
  <c r="H136" i="139" s="1"/>
  <c r="G135" i="139"/>
  <c r="G136" i="139" s="1"/>
  <c r="F135" i="139"/>
  <c r="F136" i="139" s="1"/>
  <c r="E135" i="139"/>
  <c r="P134" i="139"/>
  <c r="U134" i="139" s="1"/>
  <c r="N134" i="139"/>
  <c r="Q133" i="139"/>
  <c r="P133" i="139"/>
  <c r="U133" i="139" s="1"/>
  <c r="N133" i="139"/>
  <c r="Q132" i="139"/>
  <c r="P132" i="139"/>
  <c r="U132" i="139" s="1"/>
  <c r="N132" i="139"/>
  <c r="Q131" i="139"/>
  <c r="P131" i="139"/>
  <c r="U131" i="139" s="1"/>
  <c r="N131" i="139"/>
  <c r="Q130" i="139"/>
  <c r="P130" i="139"/>
  <c r="U130" i="139" s="1"/>
  <c r="N130" i="139"/>
  <c r="Q129" i="139"/>
  <c r="P129" i="139"/>
  <c r="U129" i="139" s="1"/>
  <c r="N129" i="139"/>
  <c r="Q128" i="139"/>
  <c r="P128" i="139"/>
  <c r="U128" i="139" s="1"/>
  <c r="N128" i="139"/>
  <c r="Q127" i="139"/>
  <c r="P127" i="139"/>
  <c r="U127" i="139" s="1"/>
  <c r="N127" i="139"/>
  <c r="Q126" i="139"/>
  <c r="P126" i="139"/>
  <c r="U126" i="139" s="1"/>
  <c r="N126" i="139"/>
  <c r="Q125" i="139"/>
  <c r="P125" i="139"/>
  <c r="U125" i="139" s="1"/>
  <c r="N125" i="139"/>
  <c r="Q124" i="139"/>
  <c r="P124" i="139"/>
  <c r="U124" i="139" s="1"/>
  <c r="N124" i="139"/>
  <c r="Q123" i="139"/>
  <c r="P123" i="139"/>
  <c r="N123" i="139"/>
  <c r="Q122" i="139"/>
  <c r="P122" i="139"/>
  <c r="U122" i="139" s="1"/>
  <c r="N122" i="139"/>
  <c r="Q121" i="139"/>
  <c r="P121" i="139"/>
  <c r="U121" i="139" s="1"/>
  <c r="N121" i="139"/>
  <c r="Q120" i="139"/>
  <c r="P120" i="139"/>
  <c r="U120" i="139" s="1"/>
  <c r="N120" i="139"/>
  <c r="Q119" i="139"/>
  <c r="P119" i="139"/>
  <c r="N119" i="139"/>
  <c r="Q118" i="139"/>
  <c r="P118" i="139"/>
  <c r="U118" i="139" s="1"/>
  <c r="N118" i="139"/>
  <c r="Q117" i="139"/>
  <c r="P117" i="139"/>
  <c r="U117" i="139" s="1"/>
  <c r="N117" i="139"/>
  <c r="Q116" i="139"/>
  <c r="P116" i="139"/>
  <c r="U116" i="139" s="1"/>
  <c r="N116" i="139"/>
  <c r="Q115" i="139"/>
  <c r="P115" i="139"/>
  <c r="N115" i="139"/>
  <c r="Q114" i="139"/>
  <c r="P114" i="139"/>
  <c r="U114" i="139" s="1"/>
  <c r="N114" i="139"/>
  <c r="Q113" i="139"/>
  <c r="P113" i="139"/>
  <c r="U113" i="139" s="1"/>
  <c r="N113" i="139"/>
  <c r="K113" i="139"/>
  <c r="Q112" i="139"/>
  <c r="P112" i="139"/>
  <c r="U112" i="139" s="1"/>
  <c r="N112" i="139"/>
  <c r="Q111" i="139"/>
  <c r="P111" i="139"/>
  <c r="N111" i="139"/>
  <c r="Q110" i="139"/>
  <c r="P110" i="139"/>
  <c r="U110" i="139" s="1"/>
  <c r="N110" i="139"/>
  <c r="Q109" i="139"/>
  <c r="P109" i="139"/>
  <c r="U109" i="139" s="1"/>
  <c r="N109" i="139"/>
  <c r="Q108" i="139"/>
  <c r="P108" i="139"/>
  <c r="U108" i="139" s="1"/>
  <c r="N108" i="139"/>
  <c r="Q107" i="139"/>
  <c r="P107" i="139"/>
  <c r="N107" i="139"/>
  <c r="Q106" i="139"/>
  <c r="P106" i="139"/>
  <c r="U106" i="139" s="1"/>
  <c r="N106" i="139"/>
  <c r="Q105" i="139"/>
  <c r="P105" i="139"/>
  <c r="U105" i="139" s="1"/>
  <c r="N105" i="139"/>
  <c r="Q104" i="139"/>
  <c r="P104" i="139"/>
  <c r="U104" i="139" s="1"/>
  <c r="N104" i="139"/>
  <c r="Q103" i="139"/>
  <c r="P103" i="139"/>
  <c r="N103" i="139"/>
  <c r="Q102" i="139"/>
  <c r="P102" i="139"/>
  <c r="U102" i="139" s="1"/>
  <c r="N102" i="139"/>
  <c r="Q101" i="139"/>
  <c r="P101" i="139"/>
  <c r="U101" i="139" s="1"/>
  <c r="N101" i="139"/>
  <c r="Q100" i="139"/>
  <c r="P100" i="139"/>
  <c r="U100" i="139" s="1"/>
  <c r="N100" i="139"/>
  <c r="Q99" i="139"/>
  <c r="P99" i="139"/>
  <c r="N99" i="139"/>
  <c r="Q98" i="139"/>
  <c r="P98" i="139"/>
  <c r="U98" i="139" s="1"/>
  <c r="N98" i="139"/>
  <c r="Q97" i="139"/>
  <c r="P97" i="139"/>
  <c r="U97" i="139" s="1"/>
  <c r="N97" i="139"/>
  <c r="Q96" i="139"/>
  <c r="P96" i="139"/>
  <c r="U96" i="139" s="1"/>
  <c r="N96" i="139"/>
  <c r="Q95" i="139"/>
  <c r="P95" i="139"/>
  <c r="N95" i="139"/>
  <c r="Q94" i="139"/>
  <c r="P94" i="139"/>
  <c r="U94" i="139" s="1"/>
  <c r="N94" i="139"/>
  <c r="Q93" i="139"/>
  <c r="P93" i="139"/>
  <c r="U93" i="139" s="1"/>
  <c r="N93" i="139"/>
  <c r="Q92" i="139"/>
  <c r="P92" i="139"/>
  <c r="U92" i="139" s="1"/>
  <c r="N92" i="139"/>
  <c r="Q91" i="139"/>
  <c r="P91" i="139"/>
  <c r="N91" i="139"/>
  <c r="Q90" i="139"/>
  <c r="P90" i="139"/>
  <c r="U90" i="139" s="1"/>
  <c r="N90" i="139"/>
  <c r="Q89" i="139"/>
  <c r="P89" i="139"/>
  <c r="U89" i="139" s="1"/>
  <c r="N89" i="139"/>
  <c r="Q88" i="139"/>
  <c r="P88" i="139"/>
  <c r="U88" i="139" s="1"/>
  <c r="N88" i="139"/>
  <c r="Q87" i="139"/>
  <c r="P87" i="139"/>
  <c r="N87" i="139"/>
  <c r="Q86" i="139"/>
  <c r="P86" i="139"/>
  <c r="U86" i="139" s="1"/>
  <c r="N86" i="139"/>
  <c r="Q85" i="139"/>
  <c r="P85" i="139"/>
  <c r="U85" i="139" s="1"/>
  <c r="N85" i="139"/>
  <c r="Q84" i="139"/>
  <c r="P84" i="139"/>
  <c r="U84" i="139" s="1"/>
  <c r="N84" i="139"/>
  <c r="Q83" i="139"/>
  <c r="P83" i="139"/>
  <c r="N83" i="139"/>
  <c r="Q82" i="139"/>
  <c r="P82" i="139"/>
  <c r="U82" i="139" s="1"/>
  <c r="N82" i="139"/>
  <c r="Q81" i="139"/>
  <c r="P81" i="139"/>
  <c r="U81" i="139" s="1"/>
  <c r="N81" i="139"/>
  <c r="K81" i="139"/>
  <c r="Q80" i="139"/>
  <c r="P80" i="139"/>
  <c r="U80" i="139" s="1"/>
  <c r="N80" i="139"/>
  <c r="Q79" i="139"/>
  <c r="P79" i="139"/>
  <c r="N79" i="139"/>
  <c r="Q78" i="139"/>
  <c r="P78" i="139"/>
  <c r="U78" i="139" s="1"/>
  <c r="N78" i="139"/>
  <c r="Q77" i="139"/>
  <c r="P77" i="139"/>
  <c r="U77" i="139" s="1"/>
  <c r="N77" i="139"/>
  <c r="K77" i="139"/>
  <c r="Q76" i="139"/>
  <c r="P76" i="139"/>
  <c r="U76" i="139" s="1"/>
  <c r="N76" i="139"/>
  <c r="Q75" i="139"/>
  <c r="P75" i="139"/>
  <c r="N75" i="139"/>
  <c r="Q74" i="139"/>
  <c r="P74" i="139"/>
  <c r="U74" i="139" s="1"/>
  <c r="N74" i="139"/>
  <c r="Q73" i="139"/>
  <c r="P73" i="139"/>
  <c r="U73" i="139" s="1"/>
  <c r="N73" i="139"/>
  <c r="Q72" i="139"/>
  <c r="P72" i="139"/>
  <c r="U72" i="139" s="1"/>
  <c r="N72" i="139"/>
  <c r="K72" i="139"/>
  <c r="Q71" i="139"/>
  <c r="P71" i="139"/>
  <c r="N71" i="139"/>
  <c r="Q70" i="139"/>
  <c r="P70" i="139"/>
  <c r="U70" i="139" s="1"/>
  <c r="N70" i="139"/>
  <c r="Q69" i="139"/>
  <c r="P69" i="139"/>
  <c r="U69" i="139" s="1"/>
  <c r="N69" i="139"/>
  <c r="Q68" i="139"/>
  <c r="P68" i="139"/>
  <c r="U68" i="139" s="1"/>
  <c r="N68" i="139"/>
  <c r="Q67" i="139"/>
  <c r="P67" i="139"/>
  <c r="N67" i="139"/>
  <c r="Q66" i="139"/>
  <c r="P66" i="139"/>
  <c r="U66" i="139" s="1"/>
  <c r="N66" i="139"/>
  <c r="Q65" i="139"/>
  <c r="P65" i="139"/>
  <c r="U65" i="139" s="1"/>
  <c r="N65" i="139"/>
  <c r="Q64" i="139"/>
  <c r="P64" i="139"/>
  <c r="U64" i="139" s="1"/>
  <c r="N64" i="139"/>
  <c r="Q63" i="139"/>
  <c r="P63" i="139"/>
  <c r="N63" i="139"/>
  <c r="Q62" i="139"/>
  <c r="P62" i="139"/>
  <c r="U62" i="139" s="1"/>
  <c r="N62" i="139"/>
  <c r="Q61" i="139"/>
  <c r="P61" i="139"/>
  <c r="U61" i="139" s="1"/>
  <c r="N61" i="139"/>
  <c r="Q60" i="139"/>
  <c r="P60" i="139"/>
  <c r="U60" i="139" s="1"/>
  <c r="N60" i="139"/>
  <c r="Q59" i="139"/>
  <c r="P59" i="139"/>
  <c r="N59" i="139"/>
  <c r="Q58" i="139"/>
  <c r="P58" i="139"/>
  <c r="U58" i="139" s="1"/>
  <c r="N58" i="139"/>
  <c r="Q57" i="139"/>
  <c r="P57" i="139"/>
  <c r="U57" i="139" s="1"/>
  <c r="N57" i="139"/>
  <c r="Q56" i="139"/>
  <c r="P56" i="139"/>
  <c r="U56" i="139" s="1"/>
  <c r="N56" i="139"/>
  <c r="K56" i="139"/>
  <c r="Q55" i="139"/>
  <c r="P55" i="139"/>
  <c r="N55" i="139"/>
  <c r="Q54" i="139"/>
  <c r="P54" i="139"/>
  <c r="U54" i="139" s="1"/>
  <c r="N54" i="139"/>
  <c r="Q53" i="139"/>
  <c r="P53" i="139"/>
  <c r="U53" i="139" s="1"/>
  <c r="N53" i="139"/>
  <c r="Q52" i="139"/>
  <c r="P52" i="139"/>
  <c r="U52" i="139" s="1"/>
  <c r="N52" i="139"/>
  <c r="K52" i="139"/>
  <c r="Q51" i="139"/>
  <c r="P51" i="139"/>
  <c r="U51" i="139" s="1"/>
  <c r="N51" i="139"/>
  <c r="Q50" i="139"/>
  <c r="P50" i="139"/>
  <c r="U50" i="139" s="1"/>
  <c r="N50" i="139"/>
  <c r="Q49" i="139"/>
  <c r="P49" i="139"/>
  <c r="U49" i="139" s="1"/>
  <c r="N49" i="139"/>
  <c r="Q48" i="139"/>
  <c r="P48" i="139"/>
  <c r="U48" i="139" s="1"/>
  <c r="N48" i="139"/>
  <c r="Q47" i="139"/>
  <c r="P47" i="139"/>
  <c r="U47" i="139" s="1"/>
  <c r="N47" i="139"/>
  <c r="Y46" i="139"/>
  <c r="AA46" i="139" s="1"/>
  <c r="Q46" i="139"/>
  <c r="P46" i="139"/>
  <c r="U46" i="139" s="1"/>
  <c r="N46" i="139"/>
  <c r="Y45" i="139"/>
  <c r="Q45" i="139"/>
  <c r="P45" i="139"/>
  <c r="U45" i="139" s="1"/>
  <c r="N45" i="139"/>
  <c r="K45" i="139"/>
  <c r="AI45" i="139" s="1"/>
  <c r="Q44" i="139"/>
  <c r="P44" i="139"/>
  <c r="U44" i="139" s="1"/>
  <c r="N44" i="139"/>
  <c r="Q43" i="139"/>
  <c r="P43" i="139"/>
  <c r="U43" i="139" s="1"/>
  <c r="N43" i="139"/>
  <c r="K43" i="139"/>
  <c r="Q42" i="139"/>
  <c r="P42" i="139"/>
  <c r="U42" i="139" s="1"/>
  <c r="N42" i="139"/>
  <c r="Q41" i="139"/>
  <c r="P41" i="139"/>
  <c r="N41" i="139"/>
  <c r="K41" i="139"/>
  <c r="Q40" i="139"/>
  <c r="P40" i="139"/>
  <c r="U40" i="139" s="1"/>
  <c r="N40" i="139"/>
  <c r="Q39" i="139"/>
  <c r="P39" i="139"/>
  <c r="U39" i="139" s="1"/>
  <c r="N39" i="139"/>
  <c r="Q38" i="139"/>
  <c r="P38" i="139"/>
  <c r="U38" i="139" s="1"/>
  <c r="N38" i="139"/>
  <c r="Y37" i="139"/>
  <c r="Q37" i="139"/>
  <c r="P37" i="139"/>
  <c r="U37" i="139" s="1"/>
  <c r="N37" i="139"/>
  <c r="Q36" i="139"/>
  <c r="P36" i="139"/>
  <c r="U36" i="139" s="1"/>
  <c r="N36" i="139"/>
  <c r="K36" i="139"/>
  <c r="Q35" i="139"/>
  <c r="P35" i="139"/>
  <c r="U35" i="139" s="1"/>
  <c r="N35" i="139"/>
  <c r="Q34" i="139"/>
  <c r="P34" i="139"/>
  <c r="U34" i="139" s="1"/>
  <c r="N34" i="139"/>
  <c r="K34" i="139"/>
  <c r="AA33" i="139"/>
  <c r="Q33" i="139"/>
  <c r="AH33" i="139" s="1"/>
  <c r="P33" i="139"/>
  <c r="U33" i="139" s="1"/>
  <c r="N33" i="139"/>
  <c r="Q32" i="139"/>
  <c r="AH32" i="139" s="1"/>
  <c r="P32" i="139"/>
  <c r="U32" i="139" s="1"/>
  <c r="N32" i="139"/>
  <c r="AA31" i="139"/>
  <c r="Q31" i="139"/>
  <c r="P31" i="139"/>
  <c r="U31" i="139" s="1"/>
  <c r="N31" i="139"/>
  <c r="U30" i="139"/>
  <c r="Q30" i="139"/>
  <c r="P30" i="139"/>
  <c r="N30" i="139"/>
  <c r="Q29" i="139"/>
  <c r="P29" i="139"/>
  <c r="U29" i="139" s="1"/>
  <c r="N29" i="139"/>
  <c r="Q28" i="139"/>
  <c r="P28" i="139"/>
  <c r="U28" i="139" s="1"/>
  <c r="N28" i="139"/>
  <c r="Q27" i="139"/>
  <c r="P27" i="139"/>
  <c r="U27" i="139" s="1"/>
  <c r="N27" i="139"/>
  <c r="U26" i="139"/>
  <c r="Q26" i="139"/>
  <c r="P26" i="139"/>
  <c r="N26" i="139"/>
  <c r="Q25" i="139"/>
  <c r="P25" i="139"/>
  <c r="U25" i="139" s="1"/>
  <c r="N25" i="139"/>
  <c r="Q24" i="139"/>
  <c r="P24" i="139"/>
  <c r="U24" i="139" s="1"/>
  <c r="N24" i="139"/>
  <c r="P23" i="139"/>
  <c r="U23" i="139" s="1"/>
  <c r="N23" i="139"/>
  <c r="P22" i="139"/>
  <c r="N22" i="139"/>
  <c r="K22" i="139"/>
  <c r="U18" i="139"/>
  <c r="X135" i="138"/>
  <c r="X136" i="138" s="1"/>
  <c r="W135" i="138"/>
  <c r="W136" i="138" s="1"/>
  <c r="T135" i="138"/>
  <c r="U18" i="138" s="1"/>
  <c r="M135" i="138"/>
  <c r="L135" i="138"/>
  <c r="K126" i="138" s="1"/>
  <c r="I135" i="138"/>
  <c r="I136" i="138" s="1"/>
  <c r="H135" i="138"/>
  <c r="H136" i="138" s="1"/>
  <c r="G135" i="138"/>
  <c r="G136" i="138" s="1"/>
  <c r="F135" i="138"/>
  <c r="F136" i="138" s="1"/>
  <c r="E135" i="138"/>
  <c r="P134" i="138"/>
  <c r="U134" i="138" s="1"/>
  <c r="N134" i="138"/>
  <c r="Q133" i="138"/>
  <c r="P133" i="138"/>
  <c r="U133" i="138" s="1"/>
  <c r="N133" i="138"/>
  <c r="Q132" i="138"/>
  <c r="P132" i="138"/>
  <c r="U132" i="138" s="1"/>
  <c r="N132" i="138"/>
  <c r="Q131" i="138"/>
  <c r="P131" i="138"/>
  <c r="U131" i="138" s="1"/>
  <c r="N131" i="138"/>
  <c r="Q130" i="138"/>
  <c r="P130" i="138"/>
  <c r="U130" i="138" s="1"/>
  <c r="N130" i="138"/>
  <c r="Q129" i="138"/>
  <c r="P129" i="138"/>
  <c r="U129" i="138" s="1"/>
  <c r="N129" i="138"/>
  <c r="Q128" i="138"/>
  <c r="P128" i="138"/>
  <c r="U128" i="138" s="1"/>
  <c r="N128" i="138"/>
  <c r="Q127" i="138"/>
  <c r="P127" i="138"/>
  <c r="U127" i="138" s="1"/>
  <c r="N127" i="138"/>
  <c r="Q126" i="138"/>
  <c r="P126" i="138"/>
  <c r="U126" i="138" s="1"/>
  <c r="N126" i="138"/>
  <c r="Q125" i="138"/>
  <c r="P125" i="138"/>
  <c r="U125" i="138" s="1"/>
  <c r="N125" i="138"/>
  <c r="Q124" i="138"/>
  <c r="P124" i="138"/>
  <c r="U124" i="138" s="1"/>
  <c r="N124" i="138"/>
  <c r="Q123" i="138"/>
  <c r="P123" i="138"/>
  <c r="U123" i="138" s="1"/>
  <c r="N123" i="138"/>
  <c r="Q122" i="138"/>
  <c r="P122" i="138"/>
  <c r="U122" i="138" s="1"/>
  <c r="N122" i="138"/>
  <c r="Q121" i="138"/>
  <c r="P121" i="138"/>
  <c r="U121" i="138" s="1"/>
  <c r="N121" i="138"/>
  <c r="Q120" i="138"/>
  <c r="P120" i="138"/>
  <c r="U120" i="138" s="1"/>
  <c r="N120" i="138"/>
  <c r="Q119" i="138"/>
  <c r="P119" i="138"/>
  <c r="U119" i="138" s="1"/>
  <c r="N119" i="138"/>
  <c r="Q118" i="138"/>
  <c r="P118" i="138"/>
  <c r="U118" i="138" s="1"/>
  <c r="N118" i="138"/>
  <c r="Q117" i="138"/>
  <c r="P117" i="138"/>
  <c r="U117" i="138" s="1"/>
  <c r="N117" i="138"/>
  <c r="Q116" i="138"/>
  <c r="P116" i="138"/>
  <c r="U116" i="138" s="1"/>
  <c r="N116" i="138"/>
  <c r="Q115" i="138"/>
  <c r="P115" i="138"/>
  <c r="U115" i="138" s="1"/>
  <c r="N115" i="138"/>
  <c r="Q114" i="138"/>
  <c r="P114" i="138"/>
  <c r="U114" i="138" s="1"/>
  <c r="N114" i="138"/>
  <c r="Q113" i="138"/>
  <c r="P113" i="138"/>
  <c r="U113" i="138" s="1"/>
  <c r="N113" i="138"/>
  <c r="Q112" i="138"/>
  <c r="P112" i="138"/>
  <c r="U112" i="138" s="1"/>
  <c r="N112" i="138"/>
  <c r="Q111" i="138"/>
  <c r="P111" i="138"/>
  <c r="U111" i="138" s="1"/>
  <c r="N111" i="138"/>
  <c r="Q110" i="138"/>
  <c r="P110" i="138"/>
  <c r="U110" i="138" s="1"/>
  <c r="N110" i="138"/>
  <c r="Q109" i="138"/>
  <c r="P109" i="138"/>
  <c r="U109" i="138" s="1"/>
  <c r="N109" i="138"/>
  <c r="Q108" i="138"/>
  <c r="P108" i="138"/>
  <c r="U108" i="138" s="1"/>
  <c r="N108" i="138"/>
  <c r="Q107" i="138"/>
  <c r="P107" i="138"/>
  <c r="U107" i="138" s="1"/>
  <c r="N107" i="138"/>
  <c r="Q106" i="138"/>
  <c r="P106" i="138"/>
  <c r="U106" i="138" s="1"/>
  <c r="N106" i="138"/>
  <c r="Q105" i="138"/>
  <c r="P105" i="138"/>
  <c r="U105" i="138" s="1"/>
  <c r="N105" i="138"/>
  <c r="Q104" i="138"/>
  <c r="P104" i="138"/>
  <c r="U104" i="138" s="1"/>
  <c r="N104" i="138"/>
  <c r="Q103" i="138"/>
  <c r="P103" i="138"/>
  <c r="U103" i="138" s="1"/>
  <c r="N103" i="138"/>
  <c r="Q102" i="138"/>
  <c r="P102" i="138"/>
  <c r="U102" i="138" s="1"/>
  <c r="N102" i="138"/>
  <c r="Q101" i="138"/>
  <c r="P101" i="138"/>
  <c r="U101" i="138" s="1"/>
  <c r="N101" i="138"/>
  <c r="Q100" i="138"/>
  <c r="P100" i="138"/>
  <c r="U100" i="138" s="1"/>
  <c r="N100" i="138"/>
  <c r="Q99" i="138"/>
  <c r="P99" i="138"/>
  <c r="U99" i="138" s="1"/>
  <c r="N99" i="138"/>
  <c r="Q98" i="138"/>
  <c r="P98" i="138"/>
  <c r="U98" i="138" s="1"/>
  <c r="N98" i="138"/>
  <c r="Q97" i="138"/>
  <c r="P97" i="138"/>
  <c r="U97" i="138" s="1"/>
  <c r="N97" i="138"/>
  <c r="Q96" i="138"/>
  <c r="P96" i="138"/>
  <c r="U96" i="138" s="1"/>
  <c r="N96" i="138"/>
  <c r="Q95" i="138"/>
  <c r="P95" i="138"/>
  <c r="U95" i="138" s="1"/>
  <c r="N95" i="138"/>
  <c r="Q94" i="138"/>
  <c r="P94" i="138"/>
  <c r="U94" i="138" s="1"/>
  <c r="N94" i="138"/>
  <c r="Q93" i="138"/>
  <c r="P93" i="138"/>
  <c r="U93" i="138" s="1"/>
  <c r="N93" i="138"/>
  <c r="Q92" i="138"/>
  <c r="P92" i="138"/>
  <c r="U92" i="138" s="1"/>
  <c r="N92" i="138"/>
  <c r="Q91" i="138"/>
  <c r="P91" i="138"/>
  <c r="U91" i="138" s="1"/>
  <c r="N91" i="138"/>
  <c r="Q90" i="138"/>
  <c r="P90" i="138"/>
  <c r="U90" i="138" s="1"/>
  <c r="N90" i="138"/>
  <c r="Q89" i="138"/>
  <c r="P89" i="138"/>
  <c r="U89" i="138" s="1"/>
  <c r="N89" i="138"/>
  <c r="Q88" i="138"/>
  <c r="P88" i="138"/>
  <c r="U88" i="138" s="1"/>
  <c r="N88" i="138"/>
  <c r="Q87" i="138"/>
  <c r="P87" i="138"/>
  <c r="U87" i="138" s="1"/>
  <c r="N87" i="138"/>
  <c r="Q86" i="138"/>
  <c r="P86" i="138"/>
  <c r="U86" i="138" s="1"/>
  <c r="N86" i="138"/>
  <c r="Q85" i="138"/>
  <c r="P85" i="138"/>
  <c r="U85" i="138" s="1"/>
  <c r="N85" i="138"/>
  <c r="Q84" i="138"/>
  <c r="P84" i="138"/>
  <c r="U84" i="138" s="1"/>
  <c r="N84" i="138"/>
  <c r="Q83" i="138"/>
  <c r="P83" i="138"/>
  <c r="U83" i="138" s="1"/>
  <c r="N83" i="138"/>
  <c r="Q82" i="138"/>
  <c r="P82" i="138"/>
  <c r="U82" i="138" s="1"/>
  <c r="N82" i="138"/>
  <c r="Q81" i="138"/>
  <c r="P81" i="138"/>
  <c r="U81" i="138" s="1"/>
  <c r="N81" i="138"/>
  <c r="Q80" i="138"/>
  <c r="P80" i="138"/>
  <c r="U80" i="138" s="1"/>
  <c r="N80" i="138"/>
  <c r="Q79" i="138"/>
  <c r="P79" i="138"/>
  <c r="U79" i="138" s="1"/>
  <c r="N79" i="138"/>
  <c r="Q78" i="138"/>
  <c r="P78" i="138"/>
  <c r="U78" i="138" s="1"/>
  <c r="N78" i="138"/>
  <c r="Q77" i="138"/>
  <c r="P77" i="138"/>
  <c r="U77" i="138" s="1"/>
  <c r="N77" i="138"/>
  <c r="Q76" i="138"/>
  <c r="P76" i="138"/>
  <c r="U76" i="138" s="1"/>
  <c r="N76" i="138"/>
  <c r="Q75" i="138"/>
  <c r="P75" i="138"/>
  <c r="U75" i="138" s="1"/>
  <c r="N75" i="138"/>
  <c r="Q74" i="138"/>
  <c r="P74" i="138"/>
  <c r="U74" i="138" s="1"/>
  <c r="N74" i="138"/>
  <c r="Q73" i="138"/>
  <c r="P73" i="138"/>
  <c r="U73" i="138" s="1"/>
  <c r="N73" i="138"/>
  <c r="Q72" i="138"/>
  <c r="P72" i="138"/>
  <c r="U72" i="138" s="1"/>
  <c r="N72" i="138"/>
  <c r="Q71" i="138"/>
  <c r="P71" i="138"/>
  <c r="U71" i="138" s="1"/>
  <c r="N71" i="138"/>
  <c r="Q70" i="138"/>
  <c r="P70" i="138"/>
  <c r="U70" i="138" s="1"/>
  <c r="N70" i="138"/>
  <c r="Q69" i="138"/>
  <c r="P69" i="138"/>
  <c r="U69" i="138" s="1"/>
  <c r="N69" i="138"/>
  <c r="Q68" i="138"/>
  <c r="P68" i="138"/>
  <c r="U68" i="138" s="1"/>
  <c r="N68" i="138"/>
  <c r="Q67" i="138"/>
  <c r="P67" i="138"/>
  <c r="U67" i="138" s="1"/>
  <c r="N67" i="138"/>
  <c r="Q66" i="138"/>
  <c r="P66" i="138"/>
  <c r="U66" i="138" s="1"/>
  <c r="N66" i="138"/>
  <c r="Q65" i="138"/>
  <c r="P65" i="138"/>
  <c r="U65" i="138" s="1"/>
  <c r="N65" i="138"/>
  <c r="Q64" i="138"/>
  <c r="P64" i="138"/>
  <c r="U64" i="138" s="1"/>
  <c r="N64" i="138"/>
  <c r="Q63" i="138"/>
  <c r="P63" i="138"/>
  <c r="U63" i="138" s="1"/>
  <c r="N63" i="138"/>
  <c r="Q62" i="138"/>
  <c r="P62" i="138"/>
  <c r="U62" i="138" s="1"/>
  <c r="N62" i="138"/>
  <c r="Q61" i="138"/>
  <c r="P61" i="138"/>
  <c r="U61" i="138" s="1"/>
  <c r="N61" i="138"/>
  <c r="Q60" i="138"/>
  <c r="P60" i="138"/>
  <c r="U60" i="138" s="1"/>
  <c r="N60" i="138"/>
  <c r="Q59" i="138"/>
  <c r="P59" i="138"/>
  <c r="U59" i="138" s="1"/>
  <c r="N59" i="138"/>
  <c r="Q58" i="138"/>
  <c r="P58" i="138"/>
  <c r="U58" i="138" s="1"/>
  <c r="N58" i="138"/>
  <c r="Q57" i="138"/>
  <c r="P57" i="138"/>
  <c r="U57" i="138" s="1"/>
  <c r="N57" i="138"/>
  <c r="Q56" i="138"/>
  <c r="P56" i="138"/>
  <c r="U56" i="138" s="1"/>
  <c r="N56" i="138"/>
  <c r="Q55" i="138"/>
  <c r="P55" i="138"/>
  <c r="U55" i="138" s="1"/>
  <c r="N55" i="138"/>
  <c r="Q54" i="138"/>
  <c r="P54" i="138"/>
  <c r="U54" i="138" s="1"/>
  <c r="N54" i="138"/>
  <c r="Q53" i="138"/>
  <c r="P53" i="138"/>
  <c r="U53" i="138" s="1"/>
  <c r="N53" i="138"/>
  <c r="Q52" i="138"/>
  <c r="P52" i="138"/>
  <c r="U52" i="138" s="1"/>
  <c r="N52" i="138"/>
  <c r="Q51" i="138"/>
  <c r="P51" i="138"/>
  <c r="U51" i="138" s="1"/>
  <c r="N51" i="138"/>
  <c r="Q50" i="138"/>
  <c r="P50" i="138"/>
  <c r="U50" i="138" s="1"/>
  <c r="N50" i="138"/>
  <c r="Q49" i="138"/>
  <c r="P49" i="138"/>
  <c r="U49" i="138" s="1"/>
  <c r="N49" i="138"/>
  <c r="Q48" i="138"/>
  <c r="P48" i="138"/>
  <c r="U48" i="138" s="1"/>
  <c r="N48" i="138"/>
  <c r="Q47" i="138"/>
  <c r="P47" i="138"/>
  <c r="U47" i="138" s="1"/>
  <c r="N47" i="138"/>
  <c r="Y46" i="138"/>
  <c r="AA46" i="138" s="1"/>
  <c r="Q46" i="138"/>
  <c r="P46" i="138"/>
  <c r="U46" i="138" s="1"/>
  <c r="N46" i="138"/>
  <c r="Y45" i="138"/>
  <c r="Q45" i="138"/>
  <c r="P45" i="138"/>
  <c r="U45" i="138" s="1"/>
  <c r="N45" i="138"/>
  <c r="Q44" i="138"/>
  <c r="P44" i="138"/>
  <c r="U44" i="138" s="1"/>
  <c r="N44" i="138"/>
  <c r="Q43" i="138"/>
  <c r="P43" i="138"/>
  <c r="U43" i="138" s="1"/>
  <c r="N43" i="138"/>
  <c r="Q42" i="138"/>
  <c r="P42" i="138"/>
  <c r="U42" i="138" s="1"/>
  <c r="N42" i="138"/>
  <c r="Q41" i="138"/>
  <c r="P41" i="138"/>
  <c r="U41" i="138" s="1"/>
  <c r="N41" i="138"/>
  <c r="Q40" i="138"/>
  <c r="P40" i="138"/>
  <c r="U40" i="138" s="1"/>
  <c r="N40" i="138"/>
  <c r="Q39" i="138"/>
  <c r="P39" i="138"/>
  <c r="U39" i="138" s="1"/>
  <c r="N39" i="138"/>
  <c r="Q38" i="138"/>
  <c r="P38" i="138"/>
  <c r="U38" i="138" s="1"/>
  <c r="N38" i="138"/>
  <c r="Y37" i="138"/>
  <c r="Q37" i="138"/>
  <c r="P37" i="138"/>
  <c r="U37" i="138" s="1"/>
  <c r="N37" i="138"/>
  <c r="Q36" i="138"/>
  <c r="P36" i="138"/>
  <c r="N36" i="138"/>
  <c r="Q35" i="138"/>
  <c r="P35" i="138"/>
  <c r="U35" i="138" s="1"/>
  <c r="N35" i="138"/>
  <c r="Q34" i="138"/>
  <c r="P34" i="138"/>
  <c r="N34" i="138"/>
  <c r="AA33" i="138"/>
  <c r="Q33" i="138"/>
  <c r="AH33" i="138" s="1"/>
  <c r="P33" i="138"/>
  <c r="U33" i="138" s="1"/>
  <c r="N33" i="138"/>
  <c r="Q32" i="138"/>
  <c r="P32" i="138"/>
  <c r="U32" i="138" s="1"/>
  <c r="N32" i="138"/>
  <c r="AA31" i="138"/>
  <c r="Q31" i="138"/>
  <c r="P31" i="138"/>
  <c r="U31" i="138" s="1"/>
  <c r="N31" i="138"/>
  <c r="U30" i="138"/>
  <c r="Q30" i="138"/>
  <c r="P30" i="138"/>
  <c r="N30" i="138"/>
  <c r="Q29" i="138"/>
  <c r="P29" i="138"/>
  <c r="U29" i="138" s="1"/>
  <c r="N29" i="138"/>
  <c r="Q28" i="138"/>
  <c r="P28" i="138"/>
  <c r="U28" i="138" s="1"/>
  <c r="N28" i="138"/>
  <c r="Q27" i="138"/>
  <c r="P27" i="138"/>
  <c r="U27" i="138" s="1"/>
  <c r="N27" i="138"/>
  <c r="U26" i="138"/>
  <c r="Q26" i="138"/>
  <c r="P26" i="138"/>
  <c r="N26" i="138"/>
  <c r="Q25" i="138"/>
  <c r="P25" i="138"/>
  <c r="U25" i="138" s="1"/>
  <c r="N25" i="138"/>
  <c r="Q24" i="138"/>
  <c r="P24" i="138"/>
  <c r="U24" i="138" s="1"/>
  <c r="N24" i="138"/>
  <c r="P23" i="138"/>
  <c r="U23" i="138" s="1"/>
  <c r="N23" i="138"/>
  <c r="P22" i="138"/>
  <c r="N22" i="138"/>
  <c r="X136" i="137"/>
  <c r="X135" i="137"/>
  <c r="W135" i="137"/>
  <c r="W136" i="137" s="1"/>
  <c r="T135" i="137"/>
  <c r="T136" i="137" s="1"/>
  <c r="M135" i="137"/>
  <c r="L135" i="137"/>
  <c r="K125" i="137" s="1"/>
  <c r="I135" i="137"/>
  <c r="I136" i="137" s="1"/>
  <c r="H135" i="137"/>
  <c r="H136" i="137" s="1"/>
  <c r="G135" i="137"/>
  <c r="G136" i="137" s="1"/>
  <c r="F135" i="137"/>
  <c r="F136" i="137" s="1"/>
  <c r="E135" i="137"/>
  <c r="P134" i="137"/>
  <c r="U134" i="137" s="1"/>
  <c r="N134" i="137"/>
  <c r="Q133" i="137"/>
  <c r="P133" i="137"/>
  <c r="U133" i="137" s="1"/>
  <c r="N133" i="137"/>
  <c r="Q132" i="137"/>
  <c r="P132" i="137"/>
  <c r="U132" i="137" s="1"/>
  <c r="N132" i="137"/>
  <c r="Q131" i="137"/>
  <c r="P131" i="137"/>
  <c r="N131" i="137"/>
  <c r="Q130" i="137"/>
  <c r="P130" i="137"/>
  <c r="U130" i="137" s="1"/>
  <c r="N130" i="137"/>
  <c r="Q129" i="137"/>
  <c r="P129" i="137"/>
  <c r="U129" i="137" s="1"/>
  <c r="N129" i="137"/>
  <c r="Q128" i="137"/>
  <c r="P128" i="137"/>
  <c r="U128" i="137" s="1"/>
  <c r="N128" i="137"/>
  <c r="Q127" i="137"/>
  <c r="P127" i="137"/>
  <c r="U127" i="137" s="1"/>
  <c r="N127" i="137"/>
  <c r="Q126" i="137"/>
  <c r="P126" i="137"/>
  <c r="U126" i="137" s="1"/>
  <c r="N126" i="137"/>
  <c r="Q125" i="137"/>
  <c r="P125" i="137"/>
  <c r="N125" i="137"/>
  <c r="Q124" i="137"/>
  <c r="P124" i="137"/>
  <c r="U124" i="137" s="1"/>
  <c r="N124" i="137"/>
  <c r="Q123" i="137"/>
  <c r="P123" i="137"/>
  <c r="U123" i="137" s="1"/>
  <c r="N123" i="137"/>
  <c r="Q122" i="137"/>
  <c r="P122" i="137"/>
  <c r="U122" i="137" s="1"/>
  <c r="N122" i="137"/>
  <c r="Q121" i="137"/>
  <c r="P121" i="137"/>
  <c r="U121" i="137" s="1"/>
  <c r="N121" i="137"/>
  <c r="Q120" i="137"/>
  <c r="P120" i="137"/>
  <c r="U120" i="137" s="1"/>
  <c r="N120" i="137"/>
  <c r="Q119" i="137"/>
  <c r="P119" i="137"/>
  <c r="U119" i="137" s="1"/>
  <c r="N119" i="137"/>
  <c r="Q118" i="137"/>
  <c r="P118" i="137"/>
  <c r="U118" i="137" s="1"/>
  <c r="N118" i="137"/>
  <c r="Q117" i="137"/>
  <c r="P117" i="137"/>
  <c r="N117" i="137"/>
  <c r="Q116" i="137"/>
  <c r="P116" i="137"/>
  <c r="U116" i="137" s="1"/>
  <c r="N116" i="137"/>
  <c r="Q115" i="137"/>
  <c r="P115" i="137"/>
  <c r="U115" i="137" s="1"/>
  <c r="N115" i="137"/>
  <c r="Q114" i="137"/>
  <c r="P114" i="137"/>
  <c r="U114" i="137" s="1"/>
  <c r="N114" i="137"/>
  <c r="Q113" i="137"/>
  <c r="P113" i="137"/>
  <c r="U113" i="137" s="1"/>
  <c r="N113" i="137"/>
  <c r="Q112" i="137"/>
  <c r="P112" i="137"/>
  <c r="U112" i="137" s="1"/>
  <c r="N112" i="137"/>
  <c r="Q111" i="137"/>
  <c r="P111" i="137"/>
  <c r="U111" i="137" s="1"/>
  <c r="N111" i="137"/>
  <c r="Q110" i="137"/>
  <c r="P110" i="137"/>
  <c r="U110" i="137" s="1"/>
  <c r="N110" i="137"/>
  <c r="Q109" i="137"/>
  <c r="P109" i="137"/>
  <c r="U109" i="137" s="1"/>
  <c r="N109" i="137"/>
  <c r="Q108" i="137"/>
  <c r="P108" i="137"/>
  <c r="U108" i="137" s="1"/>
  <c r="N108" i="137"/>
  <c r="Q107" i="137"/>
  <c r="P107" i="137"/>
  <c r="U107" i="137" s="1"/>
  <c r="N107" i="137"/>
  <c r="K107" i="137"/>
  <c r="Q106" i="137"/>
  <c r="P106" i="137"/>
  <c r="U106" i="137" s="1"/>
  <c r="N106" i="137"/>
  <c r="Q105" i="137"/>
  <c r="P105" i="137"/>
  <c r="U105" i="137" s="1"/>
  <c r="N105" i="137"/>
  <c r="K105" i="137"/>
  <c r="Q104" i="137"/>
  <c r="P104" i="137"/>
  <c r="U104" i="137" s="1"/>
  <c r="N104" i="137"/>
  <c r="Q103" i="137"/>
  <c r="P103" i="137"/>
  <c r="U103" i="137" s="1"/>
  <c r="N103" i="137"/>
  <c r="K103" i="137"/>
  <c r="Q102" i="137"/>
  <c r="P102" i="137"/>
  <c r="U102" i="137" s="1"/>
  <c r="N102" i="137"/>
  <c r="Q101" i="137"/>
  <c r="P101" i="137"/>
  <c r="N101" i="137"/>
  <c r="K101" i="137"/>
  <c r="Q100" i="137"/>
  <c r="P100" i="137"/>
  <c r="U100" i="137" s="1"/>
  <c r="N100" i="137"/>
  <c r="Q99" i="137"/>
  <c r="P99" i="137"/>
  <c r="U99" i="137" s="1"/>
  <c r="N99" i="137"/>
  <c r="Q98" i="137"/>
  <c r="P98" i="137"/>
  <c r="U98" i="137" s="1"/>
  <c r="N98" i="137"/>
  <c r="Q97" i="137"/>
  <c r="P97" i="137"/>
  <c r="U97" i="137" s="1"/>
  <c r="N97" i="137"/>
  <c r="Q96" i="137"/>
  <c r="P96" i="137"/>
  <c r="U96" i="137" s="1"/>
  <c r="N96" i="137"/>
  <c r="Q95" i="137"/>
  <c r="P95" i="137"/>
  <c r="U95" i="137" s="1"/>
  <c r="N95" i="137"/>
  <c r="K95" i="137"/>
  <c r="Q94" i="137"/>
  <c r="P94" i="137"/>
  <c r="U94" i="137" s="1"/>
  <c r="N94" i="137"/>
  <c r="Q93" i="137"/>
  <c r="P93" i="137"/>
  <c r="U93" i="137" s="1"/>
  <c r="N93" i="137"/>
  <c r="K93" i="137"/>
  <c r="Q92" i="137"/>
  <c r="P92" i="137"/>
  <c r="U92" i="137" s="1"/>
  <c r="N92" i="137"/>
  <c r="Q91" i="137"/>
  <c r="P91" i="137"/>
  <c r="U91" i="137" s="1"/>
  <c r="N91" i="137"/>
  <c r="Q90" i="137"/>
  <c r="P90" i="137"/>
  <c r="U90" i="137" s="1"/>
  <c r="N90" i="137"/>
  <c r="Q89" i="137"/>
  <c r="P89" i="137"/>
  <c r="U89" i="137" s="1"/>
  <c r="N89" i="137"/>
  <c r="K89" i="137"/>
  <c r="Q88" i="137"/>
  <c r="P88" i="137"/>
  <c r="U88" i="137" s="1"/>
  <c r="N88" i="137"/>
  <c r="Q87" i="137"/>
  <c r="P87" i="137"/>
  <c r="U87" i="137" s="1"/>
  <c r="N87" i="137"/>
  <c r="Q86" i="137"/>
  <c r="P86" i="137"/>
  <c r="U86" i="137" s="1"/>
  <c r="N86" i="137"/>
  <c r="Q85" i="137"/>
  <c r="P85" i="137"/>
  <c r="U85" i="137" s="1"/>
  <c r="N85" i="137"/>
  <c r="K85" i="137"/>
  <c r="Q84" i="137"/>
  <c r="P84" i="137"/>
  <c r="U84" i="137" s="1"/>
  <c r="N84" i="137"/>
  <c r="Q83" i="137"/>
  <c r="P83" i="137"/>
  <c r="U83" i="137" s="1"/>
  <c r="N83" i="137"/>
  <c r="Q82" i="137"/>
  <c r="P82" i="137"/>
  <c r="U82" i="137" s="1"/>
  <c r="N82" i="137"/>
  <c r="Q81" i="137"/>
  <c r="P81" i="137"/>
  <c r="U81" i="137" s="1"/>
  <c r="N81" i="137"/>
  <c r="Q80" i="137"/>
  <c r="P80" i="137"/>
  <c r="U80" i="137" s="1"/>
  <c r="N80" i="137"/>
  <c r="Q79" i="137"/>
  <c r="P79" i="137"/>
  <c r="U79" i="137" s="1"/>
  <c r="N79" i="137"/>
  <c r="Q78" i="137"/>
  <c r="P78" i="137"/>
  <c r="U78" i="137" s="1"/>
  <c r="N78" i="137"/>
  <c r="Q77" i="137"/>
  <c r="P77" i="137"/>
  <c r="N77" i="137"/>
  <c r="Q76" i="137"/>
  <c r="P76" i="137"/>
  <c r="U76" i="137" s="1"/>
  <c r="N76" i="137"/>
  <c r="Q75" i="137"/>
  <c r="P75" i="137"/>
  <c r="U75" i="137" s="1"/>
  <c r="N75" i="137"/>
  <c r="Q74" i="137"/>
  <c r="P74" i="137"/>
  <c r="U74" i="137" s="1"/>
  <c r="N74" i="137"/>
  <c r="Q73" i="137"/>
  <c r="P73" i="137"/>
  <c r="U73" i="137" s="1"/>
  <c r="N73" i="137"/>
  <c r="Q72" i="137"/>
  <c r="P72" i="137"/>
  <c r="U72" i="137" s="1"/>
  <c r="N72" i="137"/>
  <c r="Q71" i="137"/>
  <c r="P71" i="137"/>
  <c r="U71" i="137" s="1"/>
  <c r="N71" i="137"/>
  <c r="Q70" i="137"/>
  <c r="P70" i="137"/>
  <c r="U70" i="137" s="1"/>
  <c r="N70" i="137"/>
  <c r="Q69" i="137"/>
  <c r="P69" i="137"/>
  <c r="N69" i="137"/>
  <c r="Q68" i="137"/>
  <c r="P68" i="137"/>
  <c r="U68" i="137" s="1"/>
  <c r="N68" i="137"/>
  <c r="Q67" i="137"/>
  <c r="P67" i="137"/>
  <c r="U67" i="137" s="1"/>
  <c r="N67" i="137"/>
  <c r="Q66" i="137"/>
  <c r="P66" i="137"/>
  <c r="U66" i="137" s="1"/>
  <c r="N66" i="137"/>
  <c r="Q65" i="137"/>
  <c r="P65" i="137"/>
  <c r="U65" i="137" s="1"/>
  <c r="N65" i="137"/>
  <c r="Q64" i="137"/>
  <c r="P64" i="137"/>
  <c r="U64" i="137" s="1"/>
  <c r="N64" i="137"/>
  <c r="Q63" i="137"/>
  <c r="P63" i="137"/>
  <c r="U63" i="137" s="1"/>
  <c r="N63" i="137"/>
  <c r="Q62" i="137"/>
  <c r="P62" i="137"/>
  <c r="U62" i="137" s="1"/>
  <c r="N62" i="137"/>
  <c r="Q61" i="137"/>
  <c r="P61" i="137"/>
  <c r="N61" i="137"/>
  <c r="Q60" i="137"/>
  <c r="P60" i="137"/>
  <c r="U60" i="137" s="1"/>
  <c r="N60" i="137"/>
  <c r="Q59" i="137"/>
  <c r="P59" i="137"/>
  <c r="U59" i="137" s="1"/>
  <c r="N59" i="137"/>
  <c r="Q58" i="137"/>
  <c r="P58" i="137"/>
  <c r="U58" i="137" s="1"/>
  <c r="N58" i="137"/>
  <c r="Q57" i="137"/>
  <c r="P57" i="137"/>
  <c r="U57" i="137" s="1"/>
  <c r="N57" i="137"/>
  <c r="Q56" i="137"/>
  <c r="P56" i="137"/>
  <c r="U56" i="137" s="1"/>
  <c r="N56" i="137"/>
  <c r="Q55" i="137"/>
  <c r="P55" i="137"/>
  <c r="U55" i="137" s="1"/>
  <c r="N55" i="137"/>
  <c r="Q54" i="137"/>
  <c r="P54" i="137"/>
  <c r="U54" i="137" s="1"/>
  <c r="N54" i="137"/>
  <c r="Q53" i="137"/>
  <c r="P53" i="137"/>
  <c r="U53" i="137" s="1"/>
  <c r="N53" i="137"/>
  <c r="Q52" i="137"/>
  <c r="P52" i="137"/>
  <c r="N52" i="137"/>
  <c r="Q51" i="137"/>
  <c r="P51" i="137"/>
  <c r="N51" i="137"/>
  <c r="Q50" i="137"/>
  <c r="P50" i="137"/>
  <c r="N50" i="137"/>
  <c r="Q49" i="137"/>
  <c r="P49" i="137"/>
  <c r="U49" i="137" s="1"/>
  <c r="N49" i="137"/>
  <c r="Q48" i="137"/>
  <c r="P48" i="137"/>
  <c r="U48" i="137" s="1"/>
  <c r="N48" i="137"/>
  <c r="Q47" i="137"/>
  <c r="P47" i="137"/>
  <c r="U47" i="137" s="1"/>
  <c r="N47" i="137"/>
  <c r="Y46" i="137"/>
  <c r="AA46" i="137" s="1"/>
  <c r="Q46" i="137"/>
  <c r="P46" i="137"/>
  <c r="U46" i="137" s="1"/>
  <c r="N46" i="137"/>
  <c r="Y45" i="137"/>
  <c r="Q45" i="137"/>
  <c r="P45" i="137"/>
  <c r="U45" i="137" s="1"/>
  <c r="N45" i="137"/>
  <c r="K45" i="137"/>
  <c r="AI45" i="137" s="1"/>
  <c r="Q44" i="137"/>
  <c r="P44" i="137"/>
  <c r="U44" i="137" s="1"/>
  <c r="N44" i="137"/>
  <c r="Q43" i="137"/>
  <c r="P43" i="137"/>
  <c r="U43" i="137" s="1"/>
  <c r="N43" i="137"/>
  <c r="K43" i="137"/>
  <c r="Q42" i="137"/>
  <c r="P42" i="137"/>
  <c r="U42" i="137" s="1"/>
  <c r="N42" i="137"/>
  <c r="Q41" i="137"/>
  <c r="P41" i="137"/>
  <c r="U41" i="137" s="1"/>
  <c r="N41" i="137"/>
  <c r="K41" i="137"/>
  <c r="Q40" i="137"/>
  <c r="P40" i="137"/>
  <c r="U40" i="137" s="1"/>
  <c r="N40" i="137"/>
  <c r="Q39" i="137"/>
  <c r="P39" i="137"/>
  <c r="U39" i="137" s="1"/>
  <c r="N39" i="137"/>
  <c r="K39" i="137"/>
  <c r="Q38" i="137"/>
  <c r="P38" i="137"/>
  <c r="U38" i="137" s="1"/>
  <c r="N38" i="137"/>
  <c r="Y37" i="137"/>
  <c r="Q37" i="137"/>
  <c r="P37" i="137"/>
  <c r="U37" i="137" s="1"/>
  <c r="N37" i="137"/>
  <c r="Q36" i="137"/>
  <c r="P36" i="137"/>
  <c r="U36" i="137" s="1"/>
  <c r="N36" i="137"/>
  <c r="Q35" i="137"/>
  <c r="P35" i="137"/>
  <c r="U35" i="137" s="1"/>
  <c r="N35" i="137"/>
  <c r="Q34" i="137"/>
  <c r="P34" i="137"/>
  <c r="U34" i="137" s="1"/>
  <c r="N34" i="137"/>
  <c r="AH33" i="137"/>
  <c r="AA33" i="137"/>
  <c r="U33" i="137"/>
  <c r="Q33" i="137"/>
  <c r="P33" i="137"/>
  <c r="N33" i="137"/>
  <c r="U32" i="137"/>
  <c r="Q32" i="137"/>
  <c r="AH32" i="137" s="1"/>
  <c r="P32" i="137"/>
  <c r="N32" i="137"/>
  <c r="AA31" i="137"/>
  <c r="Q31" i="137"/>
  <c r="P31" i="137"/>
  <c r="U31" i="137" s="1"/>
  <c r="N31" i="137"/>
  <c r="K31" i="137"/>
  <c r="U30" i="137"/>
  <c r="Q30" i="137"/>
  <c r="P30" i="137"/>
  <c r="N30" i="137"/>
  <c r="Q29" i="137"/>
  <c r="P29" i="137"/>
  <c r="U29" i="137" s="1"/>
  <c r="N29" i="137"/>
  <c r="Q28" i="137"/>
  <c r="P28" i="137"/>
  <c r="U28" i="137" s="1"/>
  <c r="N28" i="137"/>
  <c r="Q27" i="137"/>
  <c r="P27" i="137"/>
  <c r="U27" i="137" s="1"/>
  <c r="N27" i="137"/>
  <c r="U26" i="137"/>
  <c r="Q26" i="137"/>
  <c r="P26" i="137"/>
  <c r="N26" i="137"/>
  <c r="K26" i="137"/>
  <c r="Q25" i="137"/>
  <c r="P25" i="137"/>
  <c r="U25" i="137" s="1"/>
  <c r="N25" i="137"/>
  <c r="Q24" i="137"/>
  <c r="P24" i="137"/>
  <c r="N24" i="137"/>
  <c r="K24" i="137"/>
  <c r="P23" i="137"/>
  <c r="U23" i="137" s="1"/>
  <c r="N23" i="137"/>
  <c r="P22" i="137"/>
  <c r="U22" i="137" s="1"/>
  <c r="N22" i="137"/>
  <c r="U18" i="137"/>
  <c r="AB198" i="134" l="1"/>
  <c r="W176" i="134"/>
  <c r="X197" i="134"/>
  <c r="AC197" i="134" s="1"/>
  <c r="AC135" i="134"/>
  <c r="AC164" i="134"/>
  <c r="M197" i="134"/>
  <c r="M198" i="134" s="1"/>
  <c r="K87" i="137"/>
  <c r="K99" i="137"/>
  <c r="K81" i="137"/>
  <c r="K22" i="137"/>
  <c r="K49" i="137"/>
  <c r="K59" i="137"/>
  <c r="K69" i="137"/>
  <c r="K77" i="137"/>
  <c r="P166" i="137"/>
  <c r="K73" i="137"/>
  <c r="K75" i="137"/>
  <c r="K110" i="137"/>
  <c r="K112" i="137"/>
  <c r="K114" i="137"/>
  <c r="K120" i="137"/>
  <c r="K122" i="137"/>
  <c r="K91" i="137"/>
  <c r="K97" i="137"/>
  <c r="K36" i="137"/>
  <c r="K47" i="137"/>
  <c r="K57" i="137"/>
  <c r="K67" i="137"/>
  <c r="K28" i="137"/>
  <c r="K33" i="137"/>
  <c r="K34" i="137"/>
  <c r="K55" i="137"/>
  <c r="K63" i="137"/>
  <c r="K71" i="137"/>
  <c r="K79" i="137"/>
  <c r="K118" i="137"/>
  <c r="K30" i="137"/>
  <c r="K38" i="137"/>
  <c r="K42" i="137"/>
  <c r="K94" i="137"/>
  <c r="K102" i="137"/>
  <c r="K106" i="137"/>
  <c r="K25" i="137"/>
  <c r="K166" i="137" s="1"/>
  <c r="K32" i="137"/>
  <c r="AA32" i="137" s="1"/>
  <c r="K46" i="137"/>
  <c r="AI46" i="137" s="1"/>
  <c r="K86" i="137"/>
  <c r="K88" i="137"/>
  <c r="K90" i="137"/>
  <c r="K96" i="137"/>
  <c r="K98" i="137"/>
  <c r="K35" i="139"/>
  <c r="K37" i="139"/>
  <c r="AI37" i="139" s="1"/>
  <c r="K39" i="139"/>
  <c r="K50" i="139"/>
  <c r="K28" i="140"/>
  <c r="K30" i="140"/>
  <c r="K55" i="140"/>
  <c r="K57" i="140"/>
  <c r="K73" i="140"/>
  <c r="K126" i="137"/>
  <c r="K53" i="137"/>
  <c r="K65" i="137"/>
  <c r="K40" i="137"/>
  <c r="K44" i="137"/>
  <c r="K104" i="137"/>
  <c r="K23" i="137"/>
  <c r="K27" i="137"/>
  <c r="K35" i="137"/>
  <c r="K37" i="137"/>
  <c r="AI37" i="137" s="1"/>
  <c r="K48" i="137"/>
  <c r="K50" i="137"/>
  <c r="K52" i="137"/>
  <c r="K54" i="137"/>
  <c r="K56" i="137"/>
  <c r="K58" i="137"/>
  <c r="K60" i="137"/>
  <c r="K62" i="137"/>
  <c r="K64" i="137"/>
  <c r="K66" i="137"/>
  <c r="K68" i="137"/>
  <c r="K70" i="137"/>
  <c r="K78" i="137"/>
  <c r="K80" i="137"/>
  <c r="K82" i="137"/>
  <c r="K117" i="137"/>
  <c r="K119" i="137"/>
  <c r="K48" i="139"/>
  <c r="K68" i="139"/>
  <c r="K104" i="139"/>
  <c r="K109" i="139"/>
  <c r="K22" i="140"/>
  <c r="K47" i="140"/>
  <c r="K49" i="140"/>
  <c r="K51" i="140"/>
  <c r="K53" i="140"/>
  <c r="K71" i="140"/>
  <c r="K51" i="137"/>
  <c r="K61" i="137"/>
  <c r="K83" i="137"/>
  <c r="K29" i="137"/>
  <c r="K72" i="137"/>
  <c r="K74" i="137"/>
  <c r="K109" i="137"/>
  <c r="K111" i="137"/>
  <c r="K113" i="137"/>
  <c r="K115" i="137"/>
  <c r="K121" i="137"/>
  <c r="K123" i="137"/>
  <c r="K96" i="140"/>
  <c r="K84" i="140"/>
  <c r="K72" i="140"/>
  <c r="K83" i="140"/>
  <c r="K85" i="140"/>
  <c r="K92" i="140"/>
  <c r="K68" i="140"/>
  <c r="K79" i="140"/>
  <c r="K81" i="140"/>
  <c r="K99" i="140"/>
  <c r="K101" i="140"/>
  <c r="K111" i="140"/>
  <c r="K64" i="140"/>
  <c r="K77" i="140"/>
  <c r="K95" i="140"/>
  <c r="K166" i="140" s="1"/>
  <c r="K97" i="140"/>
  <c r="K60" i="140"/>
  <c r="K75" i="140"/>
  <c r="K104" i="140"/>
  <c r="K115" i="140"/>
  <c r="K107" i="140"/>
  <c r="K116" i="140"/>
  <c r="K112" i="140"/>
  <c r="K117" i="140"/>
  <c r="K113" i="140"/>
  <c r="K109" i="140"/>
  <c r="K120" i="140"/>
  <c r="K125" i="140"/>
  <c r="U24" i="137"/>
  <c r="K61" i="139"/>
  <c r="K88" i="139"/>
  <c r="K93" i="139"/>
  <c r="K120" i="139"/>
  <c r="K88" i="140"/>
  <c r="K103" i="140"/>
  <c r="K105" i="140"/>
  <c r="K120" i="141"/>
  <c r="K84" i="139"/>
  <c r="K116" i="139"/>
  <c r="K76" i="140"/>
  <c r="K91" i="140"/>
  <c r="K93" i="140"/>
  <c r="K108" i="140"/>
  <c r="K121" i="140"/>
  <c r="K116" i="141"/>
  <c r="K65" i="139"/>
  <c r="K97" i="139"/>
  <c r="P166" i="139"/>
  <c r="K124" i="140"/>
  <c r="K100" i="139"/>
  <c r="P166" i="140"/>
  <c r="U166" i="140" s="1"/>
  <c r="P166" i="141"/>
  <c r="U166" i="141" s="1"/>
  <c r="K33" i="138"/>
  <c r="K77" i="138"/>
  <c r="K116" i="138"/>
  <c r="K129" i="138"/>
  <c r="K93" i="138"/>
  <c r="K100" i="138"/>
  <c r="K47" i="138"/>
  <c r="K49" i="138"/>
  <c r="K36" i="138"/>
  <c r="K52" i="138"/>
  <c r="K61" i="138"/>
  <c r="K84" i="138"/>
  <c r="K125" i="138"/>
  <c r="P166" i="138"/>
  <c r="U166" i="138" s="1"/>
  <c r="K68" i="138"/>
  <c r="K109" i="138"/>
  <c r="U41" i="141"/>
  <c r="K115" i="141"/>
  <c r="K117" i="141"/>
  <c r="K124" i="141"/>
  <c r="U38" i="141"/>
  <c r="P135" i="141"/>
  <c r="P136" i="141" s="1"/>
  <c r="O128" i="141" s="1"/>
  <c r="R128" i="141" s="1"/>
  <c r="O45" i="141"/>
  <c r="R45" i="141" s="1"/>
  <c r="S45" i="141" s="1"/>
  <c r="T136" i="141"/>
  <c r="AI33" i="141"/>
  <c r="U22" i="141"/>
  <c r="K24" i="141"/>
  <c r="K25" i="141"/>
  <c r="K26" i="141"/>
  <c r="K27" i="141"/>
  <c r="K28" i="141"/>
  <c r="K29" i="141"/>
  <c r="K30" i="141"/>
  <c r="K31" i="141"/>
  <c r="AH32" i="141"/>
  <c r="K46" i="141"/>
  <c r="AI46" i="141" s="1"/>
  <c r="K54" i="141"/>
  <c r="K58" i="141"/>
  <c r="K62" i="141"/>
  <c r="K66" i="141"/>
  <c r="O67" i="141"/>
  <c r="K70" i="141"/>
  <c r="K74" i="141"/>
  <c r="K78" i="141"/>
  <c r="K82" i="141"/>
  <c r="K86" i="141"/>
  <c r="O87" i="141"/>
  <c r="K90" i="141"/>
  <c r="K94" i="141"/>
  <c r="K98" i="141"/>
  <c r="K102" i="141"/>
  <c r="O103" i="141"/>
  <c r="K106" i="141"/>
  <c r="K110" i="141"/>
  <c r="K114" i="141"/>
  <c r="K118" i="141"/>
  <c r="O119" i="141"/>
  <c r="K122" i="141"/>
  <c r="O32" i="141"/>
  <c r="U130" i="141"/>
  <c r="O54" i="141"/>
  <c r="O62" i="141"/>
  <c r="O94" i="141"/>
  <c r="O98" i="141"/>
  <c r="O33" i="141"/>
  <c r="R33" i="141" s="1"/>
  <c r="O131" i="141"/>
  <c r="R131" i="141" s="1"/>
  <c r="K134" i="141"/>
  <c r="K133" i="141"/>
  <c r="K132" i="141"/>
  <c r="K131" i="141"/>
  <c r="K130" i="141"/>
  <c r="K129" i="141"/>
  <c r="K128" i="141"/>
  <c r="K127" i="141"/>
  <c r="K126" i="141"/>
  <c r="O69" i="141"/>
  <c r="R69" i="141" s="1"/>
  <c r="O73" i="141"/>
  <c r="R73" i="141" s="1"/>
  <c r="O81" i="141"/>
  <c r="R81" i="141" s="1"/>
  <c r="O105" i="141"/>
  <c r="R105" i="141" s="1"/>
  <c r="O117" i="141"/>
  <c r="O51" i="141"/>
  <c r="O52" i="141"/>
  <c r="O129" i="141"/>
  <c r="O60" i="141"/>
  <c r="R60" i="141" s="1"/>
  <c r="O64" i="141"/>
  <c r="R64" i="141" s="1"/>
  <c r="O68" i="141"/>
  <c r="O92" i="141"/>
  <c r="R92" i="141" s="1"/>
  <c r="O96" i="141"/>
  <c r="R96" i="141" s="1"/>
  <c r="O100" i="141"/>
  <c r="K119" i="141"/>
  <c r="O120" i="141"/>
  <c r="R120" i="141" s="1"/>
  <c r="K123" i="141"/>
  <c r="O124" i="141"/>
  <c r="K32" i="141"/>
  <c r="AA32" i="141" s="1"/>
  <c r="AA135" i="141" s="1"/>
  <c r="AA136" i="141" s="1"/>
  <c r="U18" i="140"/>
  <c r="AI33" i="140"/>
  <c r="U23" i="140"/>
  <c r="K32" i="140"/>
  <c r="AA32" i="140" s="1"/>
  <c r="AA135" i="140" s="1"/>
  <c r="AA136" i="140" s="1"/>
  <c r="K54" i="140"/>
  <c r="K58" i="140"/>
  <c r="K62" i="140"/>
  <c r="K66" i="140"/>
  <c r="K70" i="140"/>
  <c r="K74" i="140"/>
  <c r="K78" i="140"/>
  <c r="K82" i="140"/>
  <c r="K86" i="140"/>
  <c r="K90" i="140"/>
  <c r="K94" i="140"/>
  <c r="K98" i="140"/>
  <c r="K102" i="140"/>
  <c r="K106" i="140"/>
  <c r="K110" i="140"/>
  <c r="K114" i="140"/>
  <c r="K118" i="140"/>
  <c r="K122" i="140"/>
  <c r="U130" i="140"/>
  <c r="K134" i="140"/>
  <c r="K133" i="140"/>
  <c r="K132" i="140"/>
  <c r="K131" i="140"/>
  <c r="K130" i="140"/>
  <c r="K129" i="140"/>
  <c r="K128" i="140"/>
  <c r="K127" i="140"/>
  <c r="K126" i="140"/>
  <c r="K119" i="140"/>
  <c r="K123" i="140"/>
  <c r="P135" i="140"/>
  <c r="P136" i="140" s="1"/>
  <c r="O59" i="140" s="1"/>
  <c r="K38" i="140"/>
  <c r="K39" i="140"/>
  <c r="K40" i="140"/>
  <c r="K41" i="140"/>
  <c r="K42" i="140"/>
  <c r="K43" i="140"/>
  <c r="K44" i="140"/>
  <c r="K45" i="140"/>
  <c r="AI45" i="140" s="1"/>
  <c r="K73" i="139"/>
  <c r="K40" i="139"/>
  <c r="K42" i="139"/>
  <c r="K44" i="139"/>
  <c r="K49" i="139"/>
  <c r="K51" i="139"/>
  <c r="K53" i="139"/>
  <c r="K60" i="139"/>
  <c r="K69" i="139"/>
  <c r="K76" i="139"/>
  <c r="K85" i="139"/>
  <c r="K92" i="139"/>
  <c r="K101" i="139"/>
  <c r="K108" i="139"/>
  <c r="K117" i="139"/>
  <c r="K124" i="139"/>
  <c r="U166" i="139"/>
  <c r="K125" i="139"/>
  <c r="K23" i="139"/>
  <c r="K57" i="139"/>
  <c r="K64" i="139"/>
  <c r="K80" i="139"/>
  <c r="K89" i="139"/>
  <c r="K96" i="139"/>
  <c r="K105" i="139"/>
  <c r="K112" i="139"/>
  <c r="K121" i="139"/>
  <c r="K33" i="139"/>
  <c r="AI33" i="139" s="1"/>
  <c r="K38" i="139"/>
  <c r="K47" i="139"/>
  <c r="U59" i="139"/>
  <c r="U71" i="139"/>
  <c r="P135" i="139"/>
  <c r="P136" i="139" s="1"/>
  <c r="O59" i="139" s="1"/>
  <c r="U22" i="139"/>
  <c r="U63" i="139"/>
  <c r="U95" i="139"/>
  <c r="U75" i="139"/>
  <c r="U107" i="139"/>
  <c r="U55" i="139"/>
  <c r="U87" i="139"/>
  <c r="U119" i="139"/>
  <c r="U67" i="139"/>
  <c r="U99" i="139"/>
  <c r="U111" i="139"/>
  <c r="U79" i="139"/>
  <c r="U91" i="139"/>
  <c r="U123" i="139"/>
  <c r="U103" i="139"/>
  <c r="U41" i="139"/>
  <c r="U83" i="139"/>
  <c r="U115" i="139"/>
  <c r="K59" i="139"/>
  <c r="K71" i="139"/>
  <c r="K75" i="139"/>
  <c r="K95" i="139"/>
  <c r="K115" i="139"/>
  <c r="K119" i="139"/>
  <c r="K24" i="139"/>
  <c r="K25" i="139"/>
  <c r="K26" i="139"/>
  <c r="K27" i="139"/>
  <c r="K28" i="139"/>
  <c r="K29" i="139"/>
  <c r="K30" i="139"/>
  <c r="K31" i="139"/>
  <c r="K46" i="139"/>
  <c r="AI46" i="139" s="1"/>
  <c r="K54" i="139"/>
  <c r="K58" i="139"/>
  <c r="K62" i="139"/>
  <c r="K66" i="139"/>
  <c r="K70" i="139"/>
  <c r="K74" i="139"/>
  <c r="K78" i="139"/>
  <c r="K82" i="139"/>
  <c r="K86" i="139"/>
  <c r="K90" i="139"/>
  <c r="K94" i="139"/>
  <c r="K98" i="139"/>
  <c r="K102" i="139"/>
  <c r="K106" i="139"/>
  <c r="K110" i="139"/>
  <c r="K114" i="139"/>
  <c r="K118" i="139"/>
  <c r="K122" i="139"/>
  <c r="K134" i="139"/>
  <c r="K133" i="139"/>
  <c r="K132" i="139"/>
  <c r="K131" i="139"/>
  <c r="K130" i="139"/>
  <c r="K129" i="139"/>
  <c r="K128" i="139"/>
  <c r="K127" i="139"/>
  <c r="K126" i="139"/>
  <c r="K79" i="139"/>
  <c r="K99" i="139"/>
  <c r="K55" i="139"/>
  <c r="K63" i="139"/>
  <c r="K67" i="139"/>
  <c r="K83" i="139"/>
  <c r="K87" i="139"/>
  <c r="K91" i="139"/>
  <c r="K103" i="139"/>
  <c r="K107" i="139"/>
  <c r="K111" i="139"/>
  <c r="K123" i="139"/>
  <c r="K32" i="139"/>
  <c r="AA32" i="139" s="1"/>
  <c r="AA135" i="139" s="1"/>
  <c r="AA136" i="139" s="1"/>
  <c r="K35" i="138"/>
  <c r="K38" i="138"/>
  <c r="K40" i="138"/>
  <c r="K64" i="138"/>
  <c r="K89" i="138"/>
  <c r="K96" i="138"/>
  <c r="K112" i="138"/>
  <c r="K121" i="138"/>
  <c r="K51" i="138"/>
  <c r="K128" i="138"/>
  <c r="P135" i="138"/>
  <c r="P136" i="138" s="1"/>
  <c r="O36" i="138" s="1"/>
  <c r="R36" i="138" s="1"/>
  <c r="S36" i="138" s="1"/>
  <c r="K37" i="138"/>
  <c r="AI37" i="138" s="1"/>
  <c r="K60" i="138"/>
  <c r="K76" i="138"/>
  <c r="K92" i="138"/>
  <c r="K108" i="138"/>
  <c r="K117" i="138"/>
  <c r="K39" i="138"/>
  <c r="K41" i="138"/>
  <c r="K43" i="138"/>
  <c r="K50" i="138"/>
  <c r="K56" i="138"/>
  <c r="K65" i="138"/>
  <c r="K72" i="138"/>
  <c r="K81" i="138"/>
  <c r="K88" i="138"/>
  <c r="K97" i="138"/>
  <c r="K104" i="138"/>
  <c r="K113" i="138"/>
  <c r="K120" i="138"/>
  <c r="K131" i="138"/>
  <c r="AI33" i="138"/>
  <c r="K44" i="138"/>
  <c r="U34" i="138"/>
  <c r="K22" i="138"/>
  <c r="K42" i="138"/>
  <c r="K57" i="138"/>
  <c r="K73" i="138"/>
  <c r="K80" i="138"/>
  <c r="K105" i="138"/>
  <c r="K32" i="138"/>
  <c r="U36" i="138"/>
  <c r="K48" i="138"/>
  <c r="K53" i="138"/>
  <c r="K69" i="138"/>
  <c r="K85" i="138"/>
  <c r="K101" i="138"/>
  <c r="K124" i="138"/>
  <c r="K23" i="138"/>
  <c r="K34" i="138"/>
  <c r="T136" i="138"/>
  <c r="U22" i="138"/>
  <c r="K24" i="138"/>
  <c r="K25" i="138"/>
  <c r="K26" i="138"/>
  <c r="K27" i="138"/>
  <c r="K28" i="138"/>
  <c r="K29" i="138"/>
  <c r="K30" i="138"/>
  <c r="K31" i="138"/>
  <c r="AH32" i="138"/>
  <c r="K46" i="138"/>
  <c r="AI46" i="138" s="1"/>
  <c r="K54" i="138"/>
  <c r="K58" i="138"/>
  <c r="K62" i="138"/>
  <c r="K66" i="138"/>
  <c r="K70" i="138"/>
  <c r="K74" i="138"/>
  <c r="K78" i="138"/>
  <c r="K82" i="138"/>
  <c r="K86" i="138"/>
  <c r="K90" i="138"/>
  <c r="K94" i="138"/>
  <c r="K98" i="138"/>
  <c r="K102" i="138"/>
  <c r="K106" i="138"/>
  <c r="K110" i="138"/>
  <c r="K114" i="138"/>
  <c r="K118" i="138"/>
  <c r="K122" i="138"/>
  <c r="K132" i="138"/>
  <c r="L136" i="138"/>
  <c r="K130" i="138"/>
  <c r="K127" i="138"/>
  <c r="K45" i="138"/>
  <c r="AI45" i="138" s="1"/>
  <c r="K55" i="138"/>
  <c r="K59" i="138"/>
  <c r="K63" i="138"/>
  <c r="K67" i="138"/>
  <c r="K71" i="138"/>
  <c r="K75" i="138"/>
  <c r="K79" i="138"/>
  <c r="K83" i="138"/>
  <c r="K87" i="138"/>
  <c r="K91" i="138"/>
  <c r="K95" i="138"/>
  <c r="K99" i="138"/>
  <c r="K103" i="138"/>
  <c r="K107" i="138"/>
  <c r="K111" i="138"/>
  <c r="K115" i="138"/>
  <c r="K119" i="138"/>
  <c r="K123" i="138"/>
  <c r="K134" i="138"/>
  <c r="K133" i="138"/>
  <c r="U166" i="137"/>
  <c r="AI33" i="137"/>
  <c r="AI135" i="137" s="1"/>
  <c r="AI136" i="137" s="1"/>
  <c r="AL17" i="137" s="1"/>
  <c r="U52" i="137"/>
  <c r="U61" i="137"/>
  <c r="U101" i="137"/>
  <c r="U131" i="137"/>
  <c r="AA135" i="137"/>
  <c r="AA136" i="137" s="1"/>
  <c r="U69" i="137"/>
  <c r="U51" i="137"/>
  <c r="U117" i="137"/>
  <c r="U125" i="137"/>
  <c r="U50" i="137"/>
  <c r="U77" i="137"/>
  <c r="P135" i="137"/>
  <c r="P136" i="137" s="1"/>
  <c r="O32" i="137" s="1"/>
  <c r="K134" i="137"/>
  <c r="K133" i="137"/>
  <c r="K132" i="137"/>
  <c r="K131" i="137"/>
  <c r="K130" i="137"/>
  <c r="K129" i="137"/>
  <c r="K128" i="137"/>
  <c r="K127" i="137"/>
  <c r="K76" i="137"/>
  <c r="K84" i="137"/>
  <c r="K92" i="137"/>
  <c r="K100" i="137"/>
  <c r="K108" i="137"/>
  <c r="K116" i="137"/>
  <c r="K124" i="137"/>
  <c r="L136" i="137"/>
  <c r="W164" i="134" l="1"/>
  <c r="W197" i="134"/>
  <c r="K191" i="134"/>
  <c r="K196" i="134"/>
  <c r="K189" i="134"/>
  <c r="K190" i="134"/>
  <c r="K185" i="134"/>
  <c r="K187" i="134"/>
  <c r="K180" i="134"/>
  <c r="K181" i="134"/>
  <c r="K172" i="134"/>
  <c r="K175" i="134"/>
  <c r="K123" i="134"/>
  <c r="R123" i="134" s="1"/>
  <c r="S123" i="134" s="1"/>
  <c r="K168" i="134"/>
  <c r="K53" i="134"/>
  <c r="K106" i="134"/>
  <c r="R106" i="134" s="1"/>
  <c r="S106" i="134" s="1"/>
  <c r="K24" i="134"/>
  <c r="R24" i="134" s="1"/>
  <c r="K32" i="134"/>
  <c r="K167" i="134"/>
  <c r="K179" i="134"/>
  <c r="X198" i="134"/>
  <c r="AC18" i="134"/>
  <c r="K171" i="134"/>
  <c r="K177" i="134"/>
  <c r="K166" i="134"/>
  <c r="Z166" i="134" s="1"/>
  <c r="K31" i="134"/>
  <c r="R31" i="134" s="1"/>
  <c r="S31" i="134" s="1"/>
  <c r="K40" i="134"/>
  <c r="K48" i="134"/>
  <c r="K56" i="134"/>
  <c r="R56" i="134" s="1"/>
  <c r="S56" i="134" s="1"/>
  <c r="K64" i="134"/>
  <c r="K72" i="134"/>
  <c r="K80" i="134"/>
  <c r="R80" i="134" s="1"/>
  <c r="S80" i="134" s="1"/>
  <c r="K88" i="134"/>
  <c r="R88" i="134" s="1"/>
  <c r="S88" i="134" s="1"/>
  <c r="K96" i="134"/>
  <c r="R96" i="134" s="1"/>
  <c r="S96" i="134" s="1"/>
  <c r="K104" i="134"/>
  <c r="R104" i="134" s="1"/>
  <c r="S104" i="134" s="1"/>
  <c r="K113" i="134"/>
  <c r="R113" i="134" s="1"/>
  <c r="S113" i="134" s="1"/>
  <c r="K121" i="134"/>
  <c r="R121" i="134" s="1"/>
  <c r="S121" i="134" s="1"/>
  <c r="K130" i="134"/>
  <c r="S130" i="134" s="1"/>
  <c r="K138" i="134"/>
  <c r="K146" i="134"/>
  <c r="S146" i="134" s="1"/>
  <c r="K173" i="134"/>
  <c r="K178" i="134"/>
  <c r="K188" i="134"/>
  <c r="K25" i="134"/>
  <c r="R25" i="134" s="1"/>
  <c r="S25" i="134" s="1"/>
  <c r="K33" i="134"/>
  <c r="R33" i="134" s="1"/>
  <c r="S33" i="134" s="1"/>
  <c r="K41" i="134"/>
  <c r="K49" i="134"/>
  <c r="R49" i="134" s="1"/>
  <c r="S49" i="134" s="1"/>
  <c r="K57" i="134"/>
  <c r="K65" i="134"/>
  <c r="K73" i="134"/>
  <c r="R73" i="134" s="1"/>
  <c r="S73" i="134" s="1"/>
  <c r="K81" i="134"/>
  <c r="K97" i="134"/>
  <c r="R97" i="134" s="1"/>
  <c r="S97" i="134" s="1"/>
  <c r="K105" i="134"/>
  <c r="R105" i="134" s="1"/>
  <c r="S105" i="134" s="1"/>
  <c r="K114" i="134"/>
  <c r="R114" i="134" s="1"/>
  <c r="S114" i="134" s="1"/>
  <c r="K122" i="134"/>
  <c r="R122" i="134" s="1"/>
  <c r="S122" i="134" s="1"/>
  <c r="K131" i="134"/>
  <c r="R131" i="134" s="1"/>
  <c r="S131" i="134" s="1"/>
  <c r="K139" i="134"/>
  <c r="K26" i="134"/>
  <c r="S26" i="134" s="1"/>
  <c r="K35" i="134"/>
  <c r="R35" i="134" s="1"/>
  <c r="S35" i="134" s="1"/>
  <c r="K43" i="134"/>
  <c r="K51" i="134"/>
  <c r="K59" i="134"/>
  <c r="S59" i="134" s="1"/>
  <c r="K67" i="134"/>
  <c r="K75" i="134"/>
  <c r="K83" i="134"/>
  <c r="R83" i="134" s="1"/>
  <c r="K91" i="134"/>
  <c r="R91" i="134" s="1"/>
  <c r="S91" i="134" s="1"/>
  <c r="K99" i="134"/>
  <c r="R99" i="134" s="1"/>
  <c r="S99" i="134" s="1"/>
  <c r="K108" i="134"/>
  <c r="R108" i="134" s="1"/>
  <c r="S108" i="134" s="1"/>
  <c r="K116" i="134"/>
  <c r="R116" i="134" s="1"/>
  <c r="S116" i="134" s="1"/>
  <c r="K125" i="134"/>
  <c r="K133" i="134"/>
  <c r="R133" i="134" s="1"/>
  <c r="S133" i="134" s="1"/>
  <c r="K141" i="134"/>
  <c r="R141" i="134" s="1"/>
  <c r="S141" i="134" s="1"/>
  <c r="K149" i="134"/>
  <c r="R149" i="134" s="1"/>
  <c r="S149" i="134" s="1"/>
  <c r="K157" i="134"/>
  <c r="R157" i="134" s="1"/>
  <c r="S157" i="134" s="1"/>
  <c r="K183" i="134"/>
  <c r="K193" i="134"/>
  <c r="K29" i="134"/>
  <c r="R29" i="134" s="1"/>
  <c r="S29" i="134" s="1"/>
  <c r="K44" i="134"/>
  <c r="K55" i="134"/>
  <c r="R55" i="134" s="1"/>
  <c r="K69" i="134"/>
  <c r="K82" i="134"/>
  <c r="R82" i="134" s="1"/>
  <c r="K94" i="134"/>
  <c r="R94" i="134" s="1"/>
  <c r="S94" i="134" s="1"/>
  <c r="K109" i="134"/>
  <c r="R109" i="134" s="1"/>
  <c r="S109" i="134" s="1"/>
  <c r="K120" i="134"/>
  <c r="R120" i="134" s="1"/>
  <c r="S120" i="134" s="1"/>
  <c r="K135" i="134"/>
  <c r="R135" i="134" s="1"/>
  <c r="S135" i="134" s="1"/>
  <c r="K147" i="134"/>
  <c r="R147" i="134" s="1"/>
  <c r="S147" i="134" s="1"/>
  <c r="K156" i="134"/>
  <c r="R156" i="134" s="1"/>
  <c r="K194" i="134"/>
  <c r="K30" i="134"/>
  <c r="R30" i="134" s="1"/>
  <c r="S30" i="134" s="1"/>
  <c r="K45" i="134"/>
  <c r="K58" i="134"/>
  <c r="S58" i="134" s="1"/>
  <c r="K70" i="134"/>
  <c r="K84" i="134"/>
  <c r="R84" i="134" s="1"/>
  <c r="S84" i="134" s="1"/>
  <c r="K95" i="134"/>
  <c r="R95" i="134" s="1"/>
  <c r="S95" i="134" s="1"/>
  <c r="K110" i="134"/>
  <c r="R110" i="134" s="1"/>
  <c r="S110" i="134" s="1"/>
  <c r="K124" i="134"/>
  <c r="R124" i="134" s="1"/>
  <c r="S124" i="134" s="1"/>
  <c r="K158" i="134"/>
  <c r="R158" i="134" s="1"/>
  <c r="S158" i="134" s="1"/>
  <c r="K174" i="134"/>
  <c r="K195" i="134"/>
  <c r="K34" i="134"/>
  <c r="R34" i="134" s="1"/>
  <c r="S34" i="134" s="1"/>
  <c r="K46" i="134"/>
  <c r="K60" i="134"/>
  <c r="R60" i="134" s="1"/>
  <c r="S60" i="134" s="1"/>
  <c r="K71" i="134"/>
  <c r="K85" i="134"/>
  <c r="R85" i="134" s="1"/>
  <c r="K98" i="134"/>
  <c r="R98" i="134" s="1"/>
  <c r="S98" i="134" s="1"/>
  <c r="K111" i="134"/>
  <c r="R111" i="134" s="1"/>
  <c r="S111" i="134" s="1"/>
  <c r="K126" i="134"/>
  <c r="R126" i="134" s="1"/>
  <c r="S126" i="134" s="1"/>
  <c r="K137" i="134"/>
  <c r="R137" i="134" s="1"/>
  <c r="S137" i="134" s="1"/>
  <c r="K150" i="134"/>
  <c r="R150" i="134" s="1"/>
  <c r="S150" i="134" s="1"/>
  <c r="K159" i="134"/>
  <c r="R159" i="134" s="1"/>
  <c r="S159" i="134" s="1"/>
  <c r="K192" i="134"/>
  <c r="K27" i="134"/>
  <c r="R27" i="134" s="1"/>
  <c r="S27" i="134" s="1"/>
  <c r="K66" i="134"/>
  <c r="K103" i="134"/>
  <c r="R103" i="134" s="1"/>
  <c r="S103" i="134" s="1"/>
  <c r="K132" i="134"/>
  <c r="R132" i="134" s="1"/>
  <c r="S132" i="134" s="1"/>
  <c r="K163" i="134"/>
  <c r="R163" i="134" s="1"/>
  <c r="S163" i="134" s="1"/>
  <c r="K36" i="134"/>
  <c r="K47" i="134"/>
  <c r="K61" i="134"/>
  <c r="K74" i="134"/>
  <c r="K86" i="134"/>
  <c r="R86" i="134" s="1"/>
  <c r="S86" i="134" s="1"/>
  <c r="K100" i="134"/>
  <c r="R100" i="134" s="1"/>
  <c r="S100" i="134" s="1"/>
  <c r="K112" i="134"/>
  <c r="R112" i="134" s="1"/>
  <c r="S112" i="134" s="1"/>
  <c r="K127" i="134"/>
  <c r="R127" i="134" s="1"/>
  <c r="S127" i="134" s="1"/>
  <c r="K140" i="134"/>
  <c r="K151" i="134"/>
  <c r="R151" i="134" s="1"/>
  <c r="S151" i="134" s="1"/>
  <c r="K160" i="134"/>
  <c r="R160" i="134" s="1"/>
  <c r="S160" i="134" s="1"/>
  <c r="K78" i="134"/>
  <c r="K23" i="134"/>
  <c r="K169" i="134"/>
  <c r="K184" i="134"/>
  <c r="K176" i="134"/>
  <c r="K37" i="134"/>
  <c r="K50" i="134"/>
  <c r="K62" i="134"/>
  <c r="S62" i="134" s="1"/>
  <c r="K76" i="134"/>
  <c r="R76" i="134" s="1"/>
  <c r="S76" i="134" s="1"/>
  <c r="K87" i="134"/>
  <c r="R87" i="134" s="1"/>
  <c r="S87" i="134" s="1"/>
  <c r="K101" i="134"/>
  <c r="R101" i="134" s="1"/>
  <c r="S101" i="134" s="1"/>
  <c r="K115" i="134"/>
  <c r="R115" i="134" s="1"/>
  <c r="S115" i="134" s="1"/>
  <c r="K128" i="134"/>
  <c r="R128" i="134" s="1"/>
  <c r="S128" i="134" s="1"/>
  <c r="K142" i="134"/>
  <c r="K152" i="134"/>
  <c r="R152" i="134" s="1"/>
  <c r="S152" i="134" s="1"/>
  <c r="K161" i="134"/>
  <c r="R161" i="134" s="1"/>
  <c r="S161" i="134" s="1"/>
  <c r="K144" i="134"/>
  <c r="K170" i="134"/>
  <c r="K38" i="134"/>
  <c r="K52" i="134"/>
  <c r="K63" i="134"/>
  <c r="K77" i="134"/>
  <c r="R77" i="134" s="1"/>
  <c r="S77" i="134" s="1"/>
  <c r="K90" i="134"/>
  <c r="R90" i="134" s="1"/>
  <c r="S90" i="134" s="1"/>
  <c r="K102" i="134"/>
  <c r="R102" i="134" s="1"/>
  <c r="S102" i="134" s="1"/>
  <c r="K117" i="134"/>
  <c r="R117" i="134" s="1"/>
  <c r="S117" i="134" s="1"/>
  <c r="K129" i="134"/>
  <c r="R129" i="134" s="1"/>
  <c r="S129" i="134" s="1"/>
  <c r="K143" i="134"/>
  <c r="R143" i="134" s="1"/>
  <c r="S143" i="134" s="1"/>
  <c r="K153" i="134"/>
  <c r="R153" i="134" s="1"/>
  <c r="S153" i="134" s="1"/>
  <c r="K162" i="134"/>
  <c r="K186" i="134"/>
  <c r="K39" i="134"/>
  <c r="K92" i="134"/>
  <c r="R92" i="134" s="1"/>
  <c r="S92" i="134" s="1"/>
  <c r="K118" i="134"/>
  <c r="R118" i="134" s="1"/>
  <c r="S118" i="134" s="1"/>
  <c r="K154" i="134"/>
  <c r="R154" i="134" s="1"/>
  <c r="S154" i="134" s="1"/>
  <c r="K119" i="134"/>
  <c r="R119" i="134" s="1"/>
  <c r="S119" i="134" s="1"/>
  <c r="K28" i="134"/>
  <c r="R28" i="134" s="1"/>
  <c r="S28" i="134" s="1"/>
  <c r="K42" i="134"/>
  <c r="K145" i="134"/>
  <c r="R145" i="134" s="1"/>
  <c r="S145" i="134" s="1"/>
  <c r="K54" i="134"/>
  <c r="K155" i="134"/>
  <c r="R155" i="134" s="1"/>
  <c r="S155" i="134" s="1"/>
  <c r="K68" i="134"/>
  <c r="K79" i="134"/>
  <c r="R79" i="134" s="1"/>
  <c r="S79" i="134" s="1"/>
  <c r="K182" i="134"/>
  <c r="K93" i="134"/>
  <c r="K107" i="134"/>
  <c r="R107" i="134" s="1"/>
  <c r="S107" i="134" s="1"/>
  <c r="O125" i="138"/>
  <c r="R125" i="138" s="1"/>
  <c r="O113" i="141"/>
  <c r="R113" i="141" s="1"/>
  <c r="O102" i="141"/>
  <c r="O44" i="141"/>
  <c r="R44" i="141" s="1"/>
  <c r="S44" i="141" s="1"/>
  <c r="O46" i="141"/>
  <c r="O83" i="141"/>
  <c r="O26" i="141"/>
  <c r="R26" i="141" s="1"/>
  <c r="S26" i="141" s="1"/>
  <c r="AI135" i="140"/>
  <c r="AI136" i="140" s="1"/>
  <c r="AL17" i="140" s="1"/>
  <c r="S128" i="141"/>
  <c r="O81" i="140"/>
  <c r="R81" i="140" s="1"/>
  <c r="O91" i="140"/>
  <c r="O113" i="140"/>
  <c r="O109" i="140"/>
  <c r="R109" i="140" s="1"/>
  <c r="O85" i="140"/>
  <c r="O107" i="140"/>
  <c r="O39" i="141"/>
  <c r="R39" i="141" s="1"/>
  <c r="S39" i="141" s="1"/>
  <c r="O88" i="141"/>
  <c r="R88" i="141" s="1"/>
  <c r="O56" i="141"/>
  <c r="O49" i="141"/>
  <c r="O101" i="141"/>
  <c r="R101" i="141" s="1"/>
  <c r="O65" i="141"/>
  <c r="O23" i="141"/>
  <c r="O166" i="141" s="1"/>
  <c r="O90" i="141"/>
  <c r="R90" i="141" s="1"/>
  <c r="S90" i="141" s="1"/>
  <c r="O27" i="141"/>
  <c r="R27" i="141" s="1"/>
  <c r="S27" i="141" s="1"/>
  <c r="O99" i="141"/>
  <c r="O63" i="141"/>
  <c r="O116" i="141"/>
  <c r="R116" i="141" s="1"/>
  <c r="O84" i="141"/>
  <c r="R84" i="141" s="1"/>
  <c r="O37" i="141"/>
  <c r="R37" i="141" s="1"/>
  <c r="O48" i="141"/>
  <c r="R48" i="141" s="1"/>
  <c r="O97" i="141"/>
  <c r="R97" i="141" s="1"/>
  <c r="O61" i="141"/>
  <c r="R61" i="141" s="1"/>
  <c r="O132" i="141"/>
  <c r="O86" i="141"/>
  <c r="O25" i="141"/>
  <c r="O115" i="141"/>
  <c r="R115" i="141" s="1"/>
  <c r="S115" i="141" s="1"/>
  <c r="O79" i="141"/>
  <c r="O112" i="141"/>
  <c r="R112" i="141" s="1"/>
  <c r="O80" i="141"/>
  <c r="O36" i="141"/>
  <c r="R36" i="141" s="1"/>
  <c r="O47" i="141"/>
  <c r="R47" i="141" s="1"/>
  <c r="O93" i="141"/>
  <c r="R93" i="141" s="1"/>
  <c r="O57" i="141"/>
  <c r="O122" i="141"/>
  <c r="R122" i="141" s="1"/>
  <c r="S122" i="141" s="1"/>
  <c r="O74" i="141"/>
  <c r="O24" i="141"/>
  <c r="O95" i="141"/>
  <c r="R95" i="141" s="1"/>
  <c r="S95" i="141" s="1"/>
  <c r="O108" i="141"/>
  <c r="R108" i="141" s="1"/>
  <c r="O76" i="141"/>
  <c r="R76" i="141" s="1"/>
  <c r="O35" i="141"/>
  <c r="O125" i="141"/>
  <c r="R125" i="141" s="1"/>
  <c r="O89" i="141"/>
  <c r="R89" i="141" s="1"/>
  <c r="O53" i="141"/>
  <c r="R53" i="141" s="1"/>
  <c r="O118" i="141"/>
  <c r="O70" i="141"/>
  <c r="O111" i="141"/>
  <c r="O55" i="141"/>
  <c r="O104" i="141"/>
  <c r="R104" i="141" s="1"/>
  <c r="O72" i="141"/>
  <c r="O34" i="141"/>
  <c r="O121" i="141"/>
  <c r="O85" i="141"/>
  <c r="O22" i="141"/>
  <c r="R22" i="141" s="1"/>
  <c r="O106" i="141"/>
  <c r="R106" i="141" s="1"/>
  <c r="S106" i="141" s="1"/>
  <c r="O66" i="141"/>
  <c r="O126" i="141"/>
  <c r="R126" i="141" s="1"/>
  <c r="O71" i="141"/>
  <c r="U136" i="141"/>
  <c r="O43" i="141"/>
  <c r="R43" i="141" s="1"/>
  <c r="S43" i="141" s="1"/>
  <c r="O93" i="139"/>
  <c r="R93" i="139" s="1"/>
  <c r="K166" i="139"/>
  <c r="O102" i="140"/>
  <c r="R102" i="140" s="1"/>
  <c r="S102" i="140" s="1"/>
  <c r="O38" i="141"/>
  <c r="R38" i="141" s="1"/>
  <c r="S38" i="141" s="1"/>
  <c r="K135" i="137"/>
  <c r="K136" i="137" s="1"/>
  <c r="O25" i="139"/>
  <c r="O70" i="139"/>
  <c r="R70" i="139" s="1"/>
  <c r="S70" i="139" s="1"/>
  <c r="O75" i="140"/>
  <c r="O114" i="141"/>
  <c r="O82" i="141"/>
  <c r="R82" i="141" s="1"/>
  <c r="S82" i="141" s="1"/>
  <c r="O29" i="141"/>
  <c r="R29" i="141" s="1"/>
  <c r="S29" i="141" s="1"/>
  <c r="O134" i="141"/>
  <c r="O40" i="141"/>
  <c r="R40" i="141" s="1"/>
  <c r="S40" i="141" s="1"/>
  <c r="U135" i="141"/>
  <c r="O99" i="139"/>
  <c r="R99" i="139" s="1"/>
  <c r="S99" i="139" s="1"/>
  <c r="O43" i="139"/>
  <c r="R43" i="139" s="1"/>
  <c r="O123" i="140"/>
  <c r="O50" i="141"/>
  <c r="R50" i="141" s="1"/>
  <c r="O109" i="141"/>
  <c r="R109" i="141" s="1"/>
  <c r="O77" i="141"/>
  <c r="O110" i="141"/>
  <c r="R110" i="141" s="1"/>
  <c r="S110" i="141" s="1"/>
  <c r="O78" i="141"/>
  <c r="O28" i="141"/>
  <c r="O123" i="141"/>
  <c r="O107" i="141"/>
  <c r="O91" i="141"/>
  <c r="R91" i="141" s="1"/>
  <c r="S91" i="141" s="1"/>
  <c r="O75" i="141"/>
  <c r="R75" i="141" s="1"/>
  <c r="S75" i="141" s="1"/>
  <c r="O59" i="141"/>
  <c r="O127" i="141"/>
  <c r="R127" i="141" s="1"/>
  <c r="S127" i="141" s="1"/>
  <c r="O55" i="139"/>
  <c r="R55" i="139" s="1"/>
  <c r="O110" i="139"/>
  <c r="O29" i="139"/>
  <c r="R29" i="139" s="1"/>
  <c r="O134" i="138"/>
  <c r="R134" i="138" s="1"/>
  <c r="S134" i="138" s="1"/>
  <c r="O95" i="138"/>
  <c r="R95" i="138" s="1"/>
  <c r="O129" i="138"/>
  <c r="R129" i="138" s="1"/>
  <c r="S129" i="138" s="1"/>
  <c r="O82" i="138"/>
  <c r="R82" i="138" s="1"/>
  <c r="O31" i="138"/>
  <c r="O44" i="138"/>
  <c r="R44" i="138" s="1"/>
  <c r="S44" i="138" s="1"/>
  <c r="O108" i="138"/>
  <c r="R108" i="138" s="1"/>
  <c r="O43" i="138"/>
  <c r="R43" i="138" s="1"/>
  <c r="S43" i="138" s="1"/>
  <c r="O60" i="138"/>
  <c r="R60" i="138" s="1"/>
  <c r="S60" i="138" s="1"/>
  <c r="O114" i="138"/>
  <c r="R114" i="138" s="1"/>
  <c r="O46" i="138"/>
  <c r="O111" i="138"/>
  <c r="R111" i="138" s="1"/>
  <c r="O93" i="138"/>
  <c r="R93" i="138" s="1"/>
  <c r="O121" i="138"/>
  <c r="R121" i="138" s="1"/>
  <c r="O52" i="138"/>
  <c r="R52" i="138" s="1"/>
  <c r="O110" i="138"/>
  <c r="R110" i="138" s="1"/>
  <c r="O53" i="138"/>
  <c r="R53" i="138" s="1"/>
  <c r="O57" i="138"/>
  <c r="R57" i="138" s="1"/>
  <c r="U135" i="138"/>
  <c r="O92" i="138"/>
  <c r="R92" i="138" s="1"/>
  <c r="S92" i="138" s="1"/>
  <c r="O79" i="138"/>
  <c r="R79" i="138" s="1"/>
  <c r="O89" i="138"/>
  <c r="R89" i="138" s="1"/>
  <c r="AA32" i="138"/>
  <c r="AA135" i="138" s="1"/>
  <c r="AA136" i="138" s="1"/>
  <c r="K166" i="138"/>
  <c r="O76" i="138"/>
  <c r="R76" i="138" s="1"/>
  <c r="O78" i="138"/>
  <c r="R78" i="138" s="1"/>
  <c r="O63" i="138"/>
  <c r="R63" i="138" s="1"/>
  <c r="O127" i="138"/>
  <c r="AI135" i="138"/>
  <c r="AI136" i="138" s="1"/>
  <c r="AL17" i="138" s="1"/>
  <c r="O41" i="141"/>
  <c r="R41" i="141" s="1"/>
  <c r="S41" i="141" s="1"/>
  <c r="O42" i="141"/>
  <c r="O58" i="141"/>
  <c r="R58" i="141" s="1"/>
  <c r="S58" i="141" s="1"/>
  <c r="O133" i="141"/>
  <c r="R133" i="141" s="1"/>
  <c r="O130" i="141"/>
  <c r="O30" i="141"/>
  <c r="R30" i="141" s="1"/>
  <c r="S30" i="141" s="1"/>
  <c r="O31" i="141"/>
  <c r="R94" i="141"/>
  <c r="S94" i="141" s="1"/>
  <c r="R119" i="141"/>
  <c r="S119" i="141" s="1"/>
  <c r="R71" i="141"/>
  <c r="S71" i="141" s="1"/>
  <c r="R111" i="141"/>
  <c r="S111" i="141" s="1"/>
  <c r="S73" i="141"/>
  <c r="S131" i="141"/>
  <c r="S74" i="141"/>
  <c r="R74" i="141"/>
  <c r="R134" i="141"/>
  <c r="S134" i="141" s="1"/>
  <c r="S76" i="141"/>
  <c r="S47" i="141"/>
  <c r="S97" i="141"/>
  <c r="R23" i="141"/>
  <c r="R98" i="141"/>
  <c r="S98" i="141" s="1"/>
  <c r="R66" i="141"/>
  <c r="S66" i="141" s="1"/>
  <c r="R25" i="141"/>
  <c r="S25" i="141" s="1"/>
  <c r="R65" i="141"/>
  <c r="S65" i="141" s="1"/>
  <c r="R35" i="141"/>
  <c r="S35" i="141" s="1"/>
  <c r="R51" i="141"/>
  <c r="S51" i="141" s="1"/>
  <c r="R132" i="141"/>
  <c r="S132" i="141" s="1"/>
  <c r="R24" i="141"/>
  <c r="S24" i="141" s="1"/>
  <c r="R55" i="141"/>
  <c r="S55" i="141" s="1"/>
  <c r="S129" i="141"/>
  <c r="R129" i="141"/>
  <c r="S89" i="141"/>
  <c r="R124" i="141"/>
  <c r="S124" i="141" s="1"/>
  <c r="R57" i="141"/>
  <c r="S57" i="141" s="1"/>
  <c r="R103" i="141"/>
  <c r="S103" i="141" s="1"/>
  <c r="S96" i="141"/>
  <c r="S53" i="141"/>
  <c r="R118" i="141"/>
  <c r="S118" i="141" s="1"/>
  <c r="R86" i="141"/>
  <c r="S86" i="141" s="1"/>
  <c r="R54" i="141"/>
  <c r="S54" i="141" s="1"/>
  <c r="R99" i="141"/>
  <c r="S99" i="141" s="1"/>
  <c r="R83" i="141"/>
  <c r="S83" i="141" s="1"/>
  <c r="R67" i="141"/>
  <c r="S67" i="141" s="1"/>
  <c r="R117" i="141"/>
  <c r="S117" i="141" s="1"/>
  <c r="R85" i="141"/>
  <c r="S85" i="141" s="1"/>
  <c r="R34" i="141"/>
  <c r="S34" i="141" s="1"/>
  <c r="R87" i="141"/>
  <c r="S87" i="141" s="1"/>
  <c r="S60" i="141"/>
  <c r="S81" i="141"/>
  <c r="R46" i="141"/>
  <c r="S46" i="141" s="1"/>
  <c r="R100" i="141"/>
  <c r="S100" i="141" s="1"/>
  <c r="R77" i="141"/>
  <c r="S77" i="141" s="1"/>
  <c r="R68" i="141"/>
  <c r="S68" i="141" s="1"/>
  <c r="R121" i="141"/>
  <c r="S121" i="141" s="1"/>
  <c r="K135" i="141"/>
  <c r="K136" i="141" s="1"/>
  <c r="S92" i="141"/>
  <c r="S104" i="141"/>
  <c r="S93" i="141"/>
  <c r="R62" i="141"/>
  <c r="S62" i="141" s="1"/>
  <c r="S64" i="141"/>
  <c r="S120" i="141"/>
  <c r="S113" i="141"/>
  <c r="R114" i="141"/>
  <c r="S114" i="141" s="1"/>
  <c r="S88" i="141"/>
  <c r="R78" i="141"/>
  <c r="S78" i="141" s="1"/>
  <c r="R79" i="141"/>
  <c r="S79" i="141" s="1"/>
  <c r="R63" i="141"/>
  <c r="S63" i="141" s="1"/>
  <c r="S116" i="141"/>
  <c r="S37" i="141"/>
  <c r="S105" i="141"/>
  <c r="S112" i="141"/>
  <c r="S36" i="141"/>
  <c r="S48" i="141"/>
  <c r="S69" i="141"/>
  <c r="S33" i="141"/>
  <c r="R102" i="141"/>
  <c r="S102" i="141" s="1"/>
  <c r="R70" i="141"/>
  <c r="S70" i="141" s="1"/>
  <c r="R123" i="141"/>
  <c r="S123" i="141" s="1"/>
  <c r="R107" i="141"/>
  <c r="S107" i="141" s="1"/>
  <c r="R59" i="141"/>
  <c r="S59" i="141" s="1"/>
  <c r="AI135" i="141"/>
  <c r="AI136" i="141" s="1"/>
  <c r="AL17" i="141" s="1"/>
  <c r="R32" i="141"/>
  <c r="S32" i="141" s="1"/>
  <c r="R80" i="141"/>
  <c r="S80" i="141" s="1"/>
  <c r="R52" i="141"/>
  <c r="S52" i="141" s="1"/>
  <c r="R72" i="141"/>
  <c r="S72" i="141" s="1"/>
  <c r="R49" i="141"/>
  <c r="S49" i="141" s="1"/>
  <c r="R56" i="141"/>
  <c r="S56" i="141" s="1"/>
  <c r="O117" i="140"/>
  <c r="R117" i="140" s="1"/>
  <c r="O70" i="140"/>
  <c r="O53" i="140"/>
  <c r="R107" i="140"/>
  <c r="S107" i="140" s="1"/>
  <c r="O37" i="140"/>
  <c r="O36" i="140"/>
  <c r="O35" i="140"/>
  <c r="O34" i="140"/>
  <c r="O60" i="140"/>
  <c r="O52" i="140"/>
  <c r="O22" i="140"/>
  <c r="O128" i="140"/>
  <c r="O124" i="140"/>
  <c r="O120" i="140"/>
  <c r="O116" i="140"/>
  <c r="O112" i="140"/>
  <c r="O108" i="140"/>
  <c r="O104" i="140"/>
  <c r="O100" i="140"/>
  <c r="O96" i="140"/>
  <c r="O92" i="140"/>
  <c r="O88" i="140"/>
  <c r="O84" i="140"/>
  <c r="O80" i="140"/>
  <c r="O76" i="140"/>
  <c r="O72" i="140"/>
  <c r="O68" i="140"/>
  <c r="O64" i="140"/>
  <c r="O56" i="140"/>
  <c r="O51" i="140"/>
  <c r="O50" i="140"/>
  <c r="O49" i="140"/>
  <c r="O48" i="140"/>
  <c r="O47" i="140"/>
  <c r="O131" i="140"/>
  <c r="O46" i="140"/>
  <c r="O31" i="140"/>
  <c r="O30" i="140"/>
  <c r="O29" i="140"/>
  <c r="O28" i="140"/>
  <c r="O27" i="140"/>
  <c r="O26" i="140"/>
  <c r="O25" i="140"/>
  <c r="O24" i="140"/>
  <c r="O43" i="140"/>
  <c r="O41" i="140"/>
  <c r="O39" i="140"/>
  <c r="O133" i="140"/>
  <c r="O126" i="140"/>
  <c r="R126" i="140" s="1"/>
  <c r="O45" i="140"/>
  <c r="O44" i="140"/>
  <c r="O42" i="140"/>
  <c r="O40" i="140"/>
  <c r="O38" i="140"/>
  <c r="O129" i="140"/>
  <c r="O73" i="140"/>
  <c r="O122" i="140"/>
  <c r="O101" i="140"/>
  <c r="O69" i="140"/>
  <c r="O118" i="140"/>
  <c r="O86" i="140"/>
  <c r="O54" i="140"/>
  <c r="O115" i="140"/>
  <c r="O99" i="140"/>
  <c r="O83" i="140"/>
  <c r="O67" i="140"/>
  <c r="O97" i="140"/>
  <c r="O82" i="140"/>
  <c r="O121" i="140"/>
  <c r="O89" i="140"/>
  <c r="O57" i="140"/>
  <c r="O106" i="140"/>
  <c r="O74" i="140"/>
  <c r="O134" i="140"/>
  <c r="U136" i="140"/>
  <c r="O130" i="140"/>
  <c r="S81" i="140"/>
  <c r="O98" i="140"/>
  <c r="O66" i="140"/>
  <c r="O23" i="140"/>
  <c r="R75" i="140"/>
  <c r="S75" i="140" s="1"/>
  <c r="S109" i="140"/>
  <c r="O77" i="140"/>
  <c r="O132" i="140"/>
  <c r="O94" i="140"/>
  <c r="O62" i="140"/>
  <c r="O119" i="140"/>
  <c r="O103" i="140"/>
  <c r="O87" i="140"/>
  <c r="O71" i="140"/>
  <c r="O55" i="140"/>
  <c r="R91" i="140"/>
  <c r="S91" i="140" s="1"/>
  <c r="O90" i="140"/>
  <c r="R113" i="140"/>
  <c r="S113" i="140" s="1"/>
  <c r="R53" i="140"/>
  <c r="S53" i="140" s="1"/>
  <c r="R123" i="140"/>
  <c r="S123" i="140" s="1"/>
  <c r="R59" i="140"/>
  <c r="S59" i="140" s="1"/>
  <c r="R70" i="140"/>
  <c r="S70" i="140" s="1"/>
  <c r="O105" i="140"/>
  <c r="O58" i="140"/>
  <c r="R85" i="140"/>
  <c r="S85" i="140" s="1"/>
  <c r="U135" i="140"/>
  <c r="O65" i="140"/>
  <c r="O114" i="140"/>
  <c r="O32" i="140"/>
  <c r="O33" i="140"/>
  <c r="O125" i="140"/>
  <c r="R125" i="140" s="1"/>
  <c r="O93" i="140"/>
  <c r="O61" i="140"/>
  <c r="O110" i="140"/>
  <c r="O78" i="140"/>
  <c r="O111" i="140"/>
  <c r="O95" i="140"/>
  <c r="O166" i="140" s="1"/>
  <c r="O79" i="140"/>
  <c r="O63" i="140"/>
  <c r="O127" i="140"/>
  <c r="K135" i="140"/>
  <c r="K136" i="140" s="1"/>
  <c r="O83" i="139"/>
  <c r="R83" i="139" s="1"/>
  <c r="S83" i="139" s="1"/>
  <c r="O38" i="139"/>
  <c r="O131" i="139"/>
  <c r="R131" i="139" s="1"/>
  <c r="S131" i="139" s="1"/>
  <c r="U135" i="139"/>
  <c r="O107" i="139"/>
  <c r="R107" i="139" s="1"/>
  <c r="S107" i="139" s="1"/>
  <c r="O115" i="139"/>
  <c r="R115" i="139" s="1"/>
  <c r="S115" i="139" s="1"/>
  <c r="O45" i="139"/>
  <c r="R45" i="139" s="1"/>
  <c r="S45" i="139" s="1"/>
  <c r="O79" i="139"/>
  <c r="R79" i="139" s="1"/>
  <c r="S79" i="139" s="1"/>
  <c r="O47" i="139"/>
  <c r="R47" i="139" s="1"/>
  <c r="O48" i="139"/>
  <c r="R48" i="139" s="1"/>
  <c r="U136" i="139"/>
  <c r="O44" i="139"/>
  <c r="R44" i="139" s="1"/>
  <c r="S44" i="139" s="1"/>
  <c r="O133" i="139"/>
  <c r="R133" i="139" s="1"/>
  <c r="S133" i="139" s="1"/>
  <c r="O95" i="139"/>
  <c r="R95" i="139" s="1"/>
  <c r="O61" i="139"/>
  <c r="R61" i="139" s="1"/>
  <c r="S61" i="139" s="1"/>
  <c r="O91" i="139"/>
  <c r="R91" i="139" s="1"/>
  <c r="O41" i="139"/>
  <c r="O127" i="139"/>
  <c r="K135" i="139"/>
  <c r="K136" i="139" s="1"/>
  <c r="O87" i="139"/>
  <c r="R87" i="139" s="1"/>
  <c r="S87" i="139" s="1"/>
  <c r="O90" i="139"/>
  <c r="AI135" i="139"/>
  <c r="AI136" i="139" s="1"/>
  <c r="AL17" i="139" s="1"/>
  <c r="O130" i="139"/>
  <c r="R130" i="139" s="1"/>
  <c r="O73" i="139"/>
  <c r="R73" i="139" s="1"/>
  <c r="R110" i="139"/>
  <c r="S110" i="139" s="1"/>
  <c r="R38" i="139"/>
  <c r="S38" i="139" s="1"/>
  <c r="S93" i="139"/>
  <c r="O128" i="139"/>
  <c r="O120" i="139"/>
  <c r="O116" i="139"/>
  <c r="O100" i="139"/>
  <c r="O96" i="139"/>
  <c r="O88" i="139"/>
  <c r="O80" i="139"/>
  <c r="O76" i="139"/>
  <c r="O72" i="139"/>
  <c r="O60" i="139"/>
  <c r="O124" i="139"/>
  <c r="O112" i="139"/>
  <c r="O108" i="139"/>
  <c r="O104" i="139"/>
  <c r="O92" i="139"/>
  <c r="O84" i="139"/>
  <c r="O68" i="139"/>
  <c r="O64" i="139"/>
  <c r="O56" i="139"/>
  <c r="O98" i="139"/>
  <c r="O46" i="139"/>
  <c r="O129" i="139"/>
  <c r="O118" i="139"/>
  <c r="O101" i="139"/>
  <c r="O69" i="139"/>
  <c r="O50" i="139"/>
  <c r="O89" i="139"/>
  <c r="O51" i="139"/>
  <c r="O37" i="139"/>
  <c r="O34" i="139"/>
  <c r="O27" i="139"/>
  <c r="O23" i="139"/>
  <c r="O32" i="139"/>
  <c r="O57" i="139"/>
  <c r="O132" i="139"/>
  <c r="O121" i="139"/>
  <c r="O106" i="139"/>
  <c r="O74" i="139"/>
  <c r="O36" i="139"/>
  <c r="O126" i="139"/>
  <c r="R126" i="139" s="1"/>
  <c r="O109" i="139"/>
  <c r="O94" i="139"/>
  <c r="O77" i="139"/>
  <c r="O62" i="139"/>
  <c r="O52" i="139"/>
  <c r="O114" i="139"/>
  <c r="O97" i="139"/>
  <c r="O82" i="139"/>
  <c r="O65" i="139"/>
  <c r="O28" i="139"/>
  <c r="O117" i="139"/>
  <c r="O102" i="139"/>
  <c r="O85" i="139"/>
  <c r="O53" i="139"/>
  <c r="O24" i="139"/>
  <c r="O113" i="139"/>
  <c r="O81" i="139"/>
  <c r="O66" i="139"/>
  <c r="O49" i="139"/>
  <c r="O30" i="139"/>
  <c r="O86" i="139"/>
  <c r="O54" i="139"/>
  <c r="O31" i="139"/>
  <c r="O26" i="139"/>
  <c r="O35" i="139"/>
  <c r="O33" i="139"/>
  <c r="O125" i="139"/>
  <c r="R125" i="139" s="1"/>
  <c r="O78" i="139"/>
  <c r="O103" i="139"/>
  <c r="O111" i="139"/>
  <c r="O67" i="139"/>
  <c r="O42" i="139"/>
  <c r="O105" i="139"/>
  <c r="O58" i="139"/>
  <c r="O71" i="139"/>
  <c r="S47" i="139"/>
  <c r="S43" i="139"/>
  <c r="R90" i="139"/>
  <c r="S90" i="139" s="1"/>
  <c r="R59" i="139"/>
  <c r="S59" i="139" s="1"/>
  <c r="S29" i="139"/>
  <c r="R41" i="139"/>
  <c r="S41" i="139" s="1"/>
  <c r="S25" i="139"/>
  <c r="O122" i="139"/>
  <c r="O63" i="139"/>
  <c r="R25" i="139"/>
  <c r="O134" i="139"/>
  <c r="O22" i="139"/>
  <c r="O123" i="139"/>
  <c r="O40" i="139"/>
  <c r="O166" i="139" s="1"/>
  <c r="O119" i="139"/>
  <c r="O75" i="139"/>
  <c r="O39" i="139"/>
  <c r="R127" i="139"/>
  <c r="S127" i="139" s="1"/>
  <c r="O74" i="138"/>
  <c r="R74" i="138" s="1"/>
  <c r="O29" i="138"/>
  <c r="R29" i="138" s="1"/>
  <c r="S29" i="138" s="1"/>
  <c r="O107" i="138"/>
  <c r="R107" i="138" s="1"/>
  <c r="O75" i="138"/>
  <c r="R75" i="138" s="1"/>
  <c r="O42" i="138"/>
  <c r="R42" i="138" s="1"/>
  <c r="S42" i="138" s="1"/>
  <c r="O35" i="138"/>
  <c r="R35" i="138" s="1"/>
  <c r="S35" i="138" s="1"/>
  <c r="O97" i="138"/>
  <c r="R97" i="138" s="1"/>
  <c r="O61" i="138"/>
  <c r="R61" i="138" s="1"/>
  <c r="O100" i="138"/>
  <c r="R100" i="138" s="1"/>
  <c r="O84" i="138"/>
  <c r="R84" i="138" s="1"/>
  <c r="O68" i="138"/>
  <c r="R68" i="138" s="1"/>
  <c r="O131" i="138"/>
  <c r="O94" i="138"/>
  <c r="R94" i="138" s="1"/>
  <c r="O62" i="138"/>
  <c r="R62" i="138" s="1"/>
  <c r="S62" i="138" s="1"/>
  <c r="O25" i="138"/>
  <c r="R25" i="138" s="1"/>
  <c r="S25" i="138" s="1"/>
  <c r="O39" i="138"/>
  <c r="O133" i="138"/>
  <c r="R133" i="138" s="1"/>
  <c r="S133" i="138" s="1"/>
  <c r="O77" i="138"/>
  <c r="R77" i="138" s="1"/>
  <c r="S77" i="138" s="1"/>
  <c r="O109" i="138"/>
  <c r="R109" i="138" s="1"/>
  <c r="S109" i="138" s="1"/>
  <c r="O48" i="138"/>
  <c r="R48" i="138" s="1"/>
  <c r="O124" i="138"/>
  <c r="R124" i="138" s="1"/>
  <c r="O122" i="138"/>
  <c r="R122" i="138" s="1"/>
  <c r="O90" i="138"/>
  <c r="R90" i="138" s="1"/>
  <c r="O58" i="138"/>
  <c r="R58" i="138" s="1"/>
  <c r="O24" i="138"/>
  <c r="R24" i="138" s="1"/>
  <c r="O115" i="138"/>
  <c r="R115" i="138" s="1"/>
  <c r="S115" i="138" s="1"/>
  <c r="O99" i="138"/>
  <c r="R99" i="138" s="1"/>
  <c r="O83" i="138"/>
  <c r="R83" i="138" s="1"/>
  <c r="S83" i="138" s="1"/>
  <c r="O67" i="138"/>
  <c r="R67" i="138" s="1"/>
  <c r="O38" i="138"/>
  <c r="R38" i="138" s="1"/>
  <c r="S38" i="138" s="1"/>
  <c r="O32" i="138"/>
  <c r="O81" i="138"/>
  <c r="R81" i="138" s="1"/>
  <c r="O113" i="138"/>
  <c r="R113" i="138" s="1"/>
  <c r="O49" i="138"/>
  <c r="R49" i="138" s="1"/>
  <c r="O128" i="138"/>
  <c r="R128" i="138" s="1"/>
  <c r="S128" i="138" s="1"/>
  <c r="O37" i="138"/>
  <c r="R37" i="138" s="1"/>
  <c r="S37" i="138" s="1"/>
  <c r="O51" i="138"/>
  <c r="R51" i="138" s="1"/>
  <c r="S51" i="138" s="1"/>
  <c r="O112" i="138"/>
  <c r="R112" i="138" s="1"/>
  <c r="O96" i="138"/>
  <c r="R96" i="138" s="1"/>
  <c r="S96" i="138" s="1"/>
  <c r="O80" i="138"/>
  <c r="R80" i="138" s="1"/>
  <c r="O64" i="138"/>
  <c r="R64" i="138" s="1"/>
  <c r="S64" i="138" s="1"/>
  <c r="O118" i="138"/>
  <c r="R118" i="138" s="1"/>
  <c r="O86" i="138"/>
  <c r="R86" i="138" s="1"/>
  <c r="O54" i="138"/>
  <c r="R54" i="138" s="1"/>
  <c r="O45" i="138"/>
  <c r="R45" i="138" s="1"/>
  <c r="K135" i="138"/>
  <c r="K136" i="138" s="1"/>
  <c r="O33" i="138"/>
  <c r="O85" i="138"/>
  <c r="R85" i="138" s="1"/>
  <c r="O117" i="138"/>
  <c r="R117" i="138" s="1"/>
  <c r="O50" i="138"/>
  <c r="O23" i="138"/>
  <c r="O22" i="138"/>
  <c r="R22" i="138" s="1"/>
  <c r="O106" i="138"/>
  <c r="R106" i="138" s="1"/>
  <c r="S106" i="138" s="1"/>
  <c r="O123" i="138"/>
  <c r="R123" i="138" s="1"/>
  <c r="O91" i="138"/>
  <c r="R91" i="138" s="1"/>
  <c r="O59" i="138"/>
  <c r="R59" i="138" s="1"/>
  <c r="O65" i="138"/>
  <c r="R65" i="138" s="1"/>
  <c r="S65" i="138" s="1"/>
  <c r="O130" i="138"/>
  <c r="R130" i="138" s="1"/>
  <c r="O34" i="138"/>
  <c r="R34" i="138" s="1"/>
  <c r="S34" i="138" s="1"/>
  <c r="O104" i="138"/>
  <c r="R104" i="138" s="1"/>
  <c r="O88" i="138"/>
  <c r="R88" i="138" s="1"/>
  <c r="S88" i="138" s="1"/>
  <c r="O72" i="138"/>
  <c r="R72" i="138" s="1"/>
  <c r="O56" i="138"/>
  <c r="R56" i="138" s="1"/>
  <c r="S56" i="138" s="1"/>
  <c r="O102" i="138"/>
  <c r="O70" i="138"/>
  <c r="R70" i="138" s="1"/>
  <c r="O28" i="138"/>
  <c r="R28" i="138" s="1"/>
  <c r="S28" i="138" s="1"/>
  <c r="O41" i="138"/>
  <c r="R41" i="138" s="1"/>
  <c r="S41" i="138" s="1"/>
  <c r="O30" i="138"/>
  <c r="R30" i="138" s="1"/>
  <c r="O69" i="138"/>
  <c r="R69" i="138" s="1"/>
  <c r="O101" i="138"/>
  <c r="R101" i="138" s="1"/>
  <c r="U136" i="138"/>
  <c r="O116" i="138"/>
  <c r="R116" i="138" s="1"/>
  <c r="O132" i="138"/>
  <c r="R132" i="138" s="1"/>
  <c r="O98" i="138"/>
  <c r="R98" i="138" s="1"/>
  <c r="O66" i="138"/>
  <c r="R66" i="138" s="1"/>
  <c r="S66" i="138" s="1"/>
  <c r="O27" i="138"/>
  <c r="R27" i="138" s="1"/>
  <c r="O119" i="138"/>
  <c r="R119" i="138" s="1"/>
  <c r="O103" i="138"/>
  <c r="R103" i="138" s="1"/>
  <c r="O87" i="138"/>
  <c r="R87" i="138" s="1"/>
  <c r="O71" i="138"/>
  <c r="R71" i="138" s="1"/>
  <c r="O55" i="138"/>
  <c r="R55" i="138" s="1"/>
  <c r="O40" i="138"/>
  <c r="R40" i="138" s="1"/>
  <c r="S40" i="138" s="1"/>
  <c r="O126" i="138"/>
  <c r="R126" i="138" s="1"/>
  <c r="O73" i="138"/>
  <c r="R73" i="138" s="1"/>
  <c r="O105" i="138"/>
  <c r="R105" i="138" s="1"/>
  <c r="O47" i="138"/>
  <c r="R47" i="138" s="1"/>
  <c r="O120" i="138"/>
  <c r="R120" i="138" s="1"/>
  <c r="O26" i="138"/>
  <c r="S82" i="138"/>
  <c r="R46" i="138"/>
  <c r="S46" i="138" s="1"/>
  <c r="S93" i="138"/>
  <c r="R50" i="138"/>
  <c r="S50" i="138" s="1"/>
  <c r="R102" i="138"/>
  <c r="R127" i="138"/>
  <c r="S127" i="138" s="1"/>
  <c r="R32" i="137"/>
  <c r="S32" i="137" s="1"/>
  <c r="O47" i="137"/>
  <c r="O49" i="137"/>
  <c r="O122" i="137"/>
  <c r="O94" i="137"/>
  <c r="O22" i="137"/>
  <c r="O93" i="137"/>
  <c r="O82" i="137"/>
  <c r="O133" i="137"/>
  <c r="O126" i="137"/>
  <c r="R126" i="137" s="1"/>
  <c r="O119" i="137"/>
  <c r="O111" i="137"/>
  <c r="O103" i="137"/>
  <c r="O95" i="137"/>
  <c r="O87" i="137"/>
  <c r="O55" i="137"/>
  <c r="O134" i="137"/>
  <c r="O120" i="137"/>
  <c r="O112" i="137"/>
  <c r="O104" i="137"/>
  <c r="O88" i="137"/>
  <c r="O72" i="137"/>
  <c r="O64" i="137"/>
  <c r="O56" i="137"/>
  <c r="O79" i="137"/>
  <c r="O71" i="137"/>
  <c r="O63" i="137"/>
  <c r="O33" i="137"/>
  <c r="O23" i="137"/>
  <c r="O96" i="137"/>
  <c r="O80" i="137"/>
  <c r="O113" i="137"/>
  <c r="O25" i="137"/>
  <c r="O107" i="137"/>
  <c r="O98" i="137"/>
  <c r="O89" i="137"/>
  <c r="O67" i="137"/>
  <c r="O128" i="137"/>
  <c r="O83" i="137"/>
  <c r="O58" i="137"/>
  <c r="O37" i="137"/>
  <c r="O123" i="137"/>
  <c r="O105" i="137"/>
  <c r="O92" i="137"/>
  <c r="O65" i="137"/>
  <c r="O90" i="137"/>
  <c r="O81" i="137"/>
  <c r="O29" i="137"/>
  <c r="O121" i="137"/>
  <c r="O75" i="137"/>
  <c r="O59" i="137"/>
  <c r="O30" i="137"/>
  <c r="O84" i="137"/>
  <c r="O66" i="137"/>
  <c r="O31" i="137"/>
  <c r="O129" i="137"/>
  <c r="O45" i="137"/>
  <c r="O127" i="137"/>
  <c r="O73" i="137"/>
  <c r="O57" i="137"/>
  <c r="O46" i="137"/>
  <c r="O24" i="137"/>
  <c r="O76" i="137"/>
  <c r="O38" i="137"/>
  <c r="O36" i="137"/>
  <c r="O26" i="137"/>
  <c r="O130" i="137"/>
  <c r="O116" i="137"/>
  <c r="O74" i="137"/>
  <c r="O41" i="137"/>
  <c r="O27" i="137"/>
  <c r="O114" i="137"/>
  <c r="O44" i="137"/>
  <c r="O28" i="137"/>
  <c r="O99" i="137"/>
  <c r="O68" i="137"/>
  <c r="O39" i="137"/>
  <c r="O108" i="137"/>
  <c r="O42" i="137"/>
  <c r="O115" i="137"/>
  <c r="O106" i="137"/>
  <c r="O97" i="137"/>
  <c r="O132" i="137"/>
  <c r="O102" i="137"/>
  <c r="O109" i="137"/>
  <c r="O86" i="137"/>
  <c r="O69" i="137"/>
  <c r="O43" i="137"/>
  <c r="O78" i="137"/>
  <c r="O53" i="137"/>
  <c r="O117" i="137"/>
  <c r="O110" i="137"/>
  <c r="O131" i="137"/>
  <c r="O35" i="137"/>
  <c r="O100" i="137"/>
  <c r="U136" i="137"/>
  <c r="O91" i="137"/>
  <c r="O52" i="137"/>
  <c r="O70" i="137"/>
  <c r="O62" i="137"/>
  <c r="O61" i="137"/>
  <c r="O60" i="137"/>
  <c r="O77" i="137"/>
  <c r="U135" i="137"/>
  <c r="O40" i="137"/>
  <c r="O54" i="137"/>
  <c r="O34" i="137"/>
  <c r="O85" i="137"/>
  <c r="O50" i="137"/>
  <c r="O125" i="137"/>
  <c r="R125" i="137" s="1"/>
  <c r="O51" i="137"/>
  <c r="O48" i="137"/>
  <c r="O124" i="137"/>
  <c r="O101" i="137"/>
  <c r="O118" i="137"/>
  <c r="R125" i="134" l="1"/>
  <c r="S125" i="134" s="1"/>
  <c r="R162" i="134"/>
  <c r="S162" i="134" s="1"/>
  <c r="R93" i="134"/>
  <c r="S93" i="134" s="1"/>
  <c r="Z61" i="134"/>
  <c r="R61" i="134"/>
  <c r="Z192" i="134"/>
  <c r="AA192" i="134" s="1"/>
  <c r="R192" i="134"/>
  <c r="S192" i="134" s="1"/>
  <c r="Z71" i="134"/>
  <c r="R71" i="134"/>
  <c r="S71" i="134" s="1"/>
  <c r="Z67" i="134"/>
  <c r="R67" i="134"/>
  <c r="S67" i="134" s="1"/>
  <c r="Z72" i="134"/>
  <c r="R72" i="134"/>
  <c r="S72" i="134" s="1"/>
  <c r="Z171" i="134"/>
  <c r="AA171" i="134" s="1"/>
  <c r="R171" i="134"/>
  <c r="S171" i="134" s="1"/>
  <c r="Z53" i="134"/>
  <c r="AA53" i="134" s="1"/>
  <c r="R53" i="134"/>
  <c r="S53" i="134" s="1"/>
  <c r="Z185" i="134"/>
  <c r="AA185" i="134" s="1"/>
  <c r="R185" i="134"/>
  <c r="S185" i="134" s="1"/>
  <c r="Z54" i="134"/>
  <c r="R54" i="134"/>
  <c r="S54" i="134" s="1"/>
  <c r="Z186" i="134"/>
  <c r="AA186" i="134" s="1"/>
  <c r="R186" i="134"/>
  <c r="S186" i="134" s="1"/>
  <c r="Z37" i="134"/>
  <c r="R37" i="134"/>
  <c r="S37" i="134" s="1"/>
  <c r="Z36" i="134"/>
  <c r="AA36" i="134" s="1"/>
  <c r="R36" i="134"/>
  <c r="S36" i="134" s="1"/>
  <c r="Z46" i="134"/>
  <c r="R46" i="134"/>
  <c r="S46" i="134" s="1"/>
  <c r="Z51" i="134"/>
  <c r="AA51" i="134" s="1"/>
  <c r="R51" i="134"/>
  <c r="S51" i="134" s="1"/>
  <c r="Z189" i="134"/>
  <c r="AA189" i="134" s="1"/>
  <c r="R189" i="134"/>
  <c r="S189" i="134" s="1"/>
  <c r="Z190" i="134"/>
  <c r="AA190" i="134" s="1"/>
  <c r="R190" i="134"/>
  <c r="S190" i="134" s="1"/>
  <c r="Z42" i="134"/>
  <c r="R42" i="134"/>
  <c r="S42" i="134" s="1"/>
  <c r="Z63" i="134"/>
  <c r="R63" i="134"/>
  <c r="S63" i="134" s="1"/>
  <c r="Z176" i="134"/>
  <c r="AA176" i="134" s="1"/>
  <c r="R176" i="134"/>
  <c r="S176" i="134" s="1"/>
  <c r="Z70" i="134"/>
  <c r="R70" i="134"/>
  <c r="S70" i="134" s="1"/>
  <c r="Z193" i="134"/>
  <c r="AA193" i="134" s="1"/>
  <c r="R193" i="134"/>
  <c r="S193" i="134" s="1"/>
  <c r="Z43" i="134"/>
  <c r="R43" i="134"/>
  <c r="S43" i="134" s="1"/>
  <c r="Z48" i="134"/>
  <c r="AA48" i="134" s="1"/>
  <c r="R48" i="134"/>
  <c r="S48" i="134" s="1"/>
  <c r="Z179" i="134"/>
  <c r="R179" i="134"/>
  <c r="S179" i="134" s="1"/>
  <c r="Z175" i="134"/>
  <c r="AA175" i="134" s="1"/>
  <c r="R175" i="134"/>
  <c r="S175" i="134" s="1"/>
  <c r="Z196" i="134"/>
  <c r="AA196" i="134" s="1"/>
  <c r="R196" i="134"/>
  <c r="S196" i="134" s="1"/>
  <c r="Z41" i="134"/>
  <c r="R41" i="134"/>
  <c r="S41" i="134" s="1"/>
  <c r="Z52" i="134"/>
  <c r="R52" i="134"/>
  <c r="S52" i="134" s="1"/>
  <c r="Z184" i="134"/>
  <c r="AA184" i="134" s="1"/>
  <c r="R184" i="134"/>
  <c r="S184" i="134" s="1"/>
  <c r="Z195" i="134"/>
  <c r="AA195" i="134" s="1"/>
  <c r="R195" i="134"/>
  <c r="S195" i="134" s="1"/>
  <c r="Z183" i="134"/>
  <c r="AA183" i="134" s="1"/>
  <c r="R183" i="134"/>
  <c r="S183" i="134" s="1"/>
  <c r="Z81" i="134"/>
  <c r="R81" i="134"/>
  <c r="Z188" i="134"/>
  <c r="AA188" i="134" s="1"/>
  <c r="R188" i="134"/>
  <c r="S188" i="134" s="1"/>
  <c r="Z40" i="134"/>
  <c r="R40" i="134"/>
  <c r="S40" i="134" s="1"/>
  <c r="Z167" i="134"/>
  <c r="AA167" i="134" s="1"/>
  <c r="R167" i="134"/>
  <c r="S167" i="134" s="1"/>
  <c r="Z172" i="134"/>
  <c r="AA172" i="134" s="1"/>
  <c r="R172" i="134"/>
  <c r="Z191" i="134"/>
  <c r="AA191" i="134" s="1"/>
  <c r="R191" i="134"/>
  <c r="S191" i="134" s="1"/>
  <c r="Z168" i="134"/>
  <c r="AA168" i="134" s="1"/>
  <c r="R168" i="134"/>
  <c r="S168" i="134" s="1"/>
  <c r="Z182" i="134"/>
  <c r="AA182" i="134" s="1"/>
  <c r="R182" i="134"/>
  <c r="S182" i="134" s="1"/>
  <c r="Z38" i="134"/>
  <c r="R38" i="134"/>
  <c r="S38" i="134" s="1"/>
  <c r="Z169" i="134"/>
  <c r="AA169" i="134" s="1"/>
  <c r="R169" i="134"/>
  <c r="S169" i="134" s="1"/>
  <c r="Z174" i="134"/>
  <c r="AA174" i="134" s="1"/>
  <c r="R174" i="134"/>
  <c r="S174" i="134" s="1"/>
  <c r="Z45" i="134"/>
  <c r="AA45" i="134" s="1"/>
  <c r="R45" i="134"/>
  <c r="S45" i="134" s="1"/>
  <c r="Z178" i="134"/>
  <c r="AA178" i="134" s="1"/>
  <c r="R178" i="134"/>
  <c r="S178" i="134" s="1"/>
  <c r="Z32" i="134"/>
  <c r="AA32" i="134" s="1"/>
  <c r="R32" i="134"/>
  <c r="S32" i="134" s="1"/>
  <c r="Z181" i="134"/>
  <c r="AA181" i="134" s="1"/>
  <c r="R181" i="134"/>
  <c r="S181" i="134" s="1"/>
  <c r="Z39" i="134"/>
  <c r="AA39" i="134" s="1"/>
  <c r="R39" i="134"/>
  <c r="S39" i="134" s="1"/>
  <c r="Z50" i="134"/>
  <c r="R50" i="134"/>
  <c r="S50" i="134" s="1"/>
  <c r="Z47" i="134"/>
  <c r="R47" i="134"/>
  <c r="S47" i="134" s="1"/>
  <c r="Z170" i="134"/>
  <c r="AA170" i="134" s="1"/>
  <c r="R170" i="134"/>
  <c r="S170" i="134" s="1"/>
  <c r="Z23" i="134"/>
  <c r="AA23" i="134" s="1"/>
  <c r="R23" i="134"/>
  <c r="S23" i="134" s="1"/>
  <c r="Z66" i="134"/>
  <c r="R66" i="134"/>
  <c r="Z65" i="134"/>
  <c r="R65" i="134"/>
  <c r="S65" i="134" s="1"/>
  <c r="Z173" i="134"/>
  <c r="AA173" i="134" s="1"/>
  <c r="R173" i="134"/>
  <c r="S173" i="134" s="1"/>
  <c r="Z24" i="134"/>
  <c r="AA24" i="134" s="1"/>
  <c r="S24" i="134"/>
  <c r="Z180" i="134"/>
  <c r="AA180" i="134" s="1"/>
  <c r="R180" i="134"/>
  <c r="S180" i="134" s="1"/>
  <c r="Z44" i="134"/>
  <c r="R44" i="134"/>
  <c r="S44" i="134" s="1"/>
  <c r="Z64" i="134"/>
  <c r="R64" i="134"/>
  <c r="S64" i="134" s="1"/>
  <c r="Z68" i="134"/>
  <c r="R68" i="134"/>
  <c r="S68" i="134" s="1"/>
  <c r="Z78" i="134"/>
  <c r="R78" i="134"/>
  <c r="S78" i="134" s="1"/>
  <c r="Z74" i="134"/>
  <c r="R74" i="134"/>
  <c r="S74" i="134" s="1"/>
  <c r="Z194" i="134"/>
  <c r="AA194" i="134" s="1"/>
  <c r="R194" i="134"/>
  <c r="S194" i="134" s="1"/>
  <c r="Z69" i="134"/>
  <c r="AA69" i="134" s="1"/>
  <c r="R69" i="134"/>
  <c r="S69" i="134" s="1"/>
  <c r="Z75" i="134"/>
  <c r="R75" i="134"/>
  <c r="S75" i="134" s="1"/>
  <c r="Z57" i="134"/>
  <c r="AA57" i="134" s="1"/>
  <c r="R57" i="134"/>
  <c r="S57" i="134" s="1"/>
  <c r="Z177" i="134"/>
  <c r="AA177" i="134" s="1"/>
  <c r="R177" i="134"/>
  <c r="S177" i="134" s="1"/>
  <c r="Z187" i="134"/>
  <c r="AA187" i="134" s="1"/>
  <c r="R187" i="134"/>
  <c r="S187" i="134" s="1"/>
  <c r="R166" i="134"/>
  <c r="AA166" i="134"/>
  <c r="K164" i="134"/>
  <c r="Z129" i="134"/>
  <c r="AA129" i="134" s="1"/>
  <c r="Z155" i="134"/>
  <c r="Z139" i="134"/>
  <c r="Z112" i="134"/>
  <c r="AA112" i="134" s="1"/>
  <c r="AA86" i="134"/>
  <c r="Z142" i="134"/>
  <c r="Z92" i="134"/>
  <c r="Z160" i="134"/>
  <c r="Z161" i="134"/>
  <c r="Z158" i="134"/>
  <c r="Z153" i="134"/>
  <c r="Z143" i="134"/>
  <c r="Z94" i="134"/>
  <c r="Z147" i="134"/>
  <c r="Z119" i="134"/>
  <c r="Z132" i="134"/>
  <c r="AA132" i="134" s="1"/>
  <c r="Z140" i="134"/>
  <c r="Z107" i="134"/>
  <c r="Z159" i="134"/>
  <c r="AA159" i="134" s="1"/>
  <c r="Z152" i="134"/>
  <c r="Z102" i="134"/>
  <c r="AA102" i="134" s="1"/>
  <c r="Z154" i="134"/>
  <c r="Z156" i="134"/>
  <c r="Z108" i="134"/>
  <c r="Z96" i="134"/>
  <c r="AA96" i="134" s="1"/>
  <c r="Z146" i="134"/>
  <c r="Z162" i="134"/>
  <c r="AA162" i="134" s="1"/>
  <c r="Z120" i="134"/>
  <c r="AA120" i="134" s="1"/>
  <c r="Z88" i="134"/>
  <c r="Z95" i="134"/>
  <c r="Z122" i="134"/>
  <c r="AA122" i="134" s="1"/>
  <c r="Z135" i="134"/>
  <c r="AA135" i="134" s="1"/>
  <c r="Z157" i="134"/>
  <c r="Z144" i="134"/>
  <c r="Z145" i="134"/>
  <c r="Z141" i="134"/>
  <c r="AA141" i="134" s="1"/>
  <c r="Z115" i="134"/>
  <c r="AA115" i="134" s="1"/>
  <c r="AC198" i="134"/>
  <c r="Z137" i="134"/>
  <c r="AA72" i="134"/>
  <c r="Z150" i="134"/>
  <c r="AA150" i="134" s="1"/>
  <c r="Z99" i="134"/>
  <c r="AA99" i="134" s="1"/>
  <c r="AA54" i="134"/>
  <c r="Z151" i="134"/>
  <c r="Z149" i="134"/>
  <c r="Z163" i="134"/>
  <c r="Z138" i="134"/>
  <c r="Z126" i="134"/>
  <c r="AA126" i="134" s="1"/>
  <c r="Z91" i="134"/>
  <c r="Z109" i="134"/>
  <c r="AA109" i="134" s="1"/>
  <c r="K197" i="134"/>
  <c r="S70" i="138"/>
  <c r="S133" i="141"/>
  <c r="S50" i="141"/>
  <c r="S22" i="141"/>
  <c r="S108" i="141"/>
  <c r="S101" i="141"/>
  <c r="S61" i="141"/>
  <c r="O135" i="141"/>
  <c r="O136" i="141" s="1"/>
  <c r="S109" i="141"/>
  <c r="S84" i="141"/>
  <c r="O166" i="137"/>
  <c r="R28" i="141"/>
  <c r="S28" i="141" s="1"/>
  <c r="S91" i="139"/>
  <c r="S55" i="139"/>
  <c r="S95" i="139"/>
  <c r="S23" i="141"/>
  <c r="R166" i="141"/>
  <c r="S166" i="141" s="1"/>
  <c r="S117" i="140"/>
  <c r="S117" i="138"/>
  <c r="S116" i="138"/>
  <c r="S95" i="138"/>
  <c r="S100" i="138"/>
  <c r="S57" i="138"/>
  <c r="S59" i="138"/>
  <c r="S114" i="138"/>
  <c r="S110" i="138"/>
  <c r="S63" i="138"/>
  <c r="S79" i="138"/>
  <c r="S121" i="138"/>
  <c r="S89" i="138"/>
  <c r="S122" i="138"/>
  <c r="S111" i="138"/>
  <c r="S108" i="138"/>
  <c r="S71" i="138"/>
  <c r="S130" i="138"/>
  <c r="S53" i="138"/>
  <c r="S118" i="138"/>
  <c r="S98" i="138"/>
  <c r="S85" i="138"/>
  <c r="S49" i="138"/>
  <c r="S132" i="138"/>
  <c r="S74" i="138"/>
  <c r="S119" i="138"/>
  <c r="S52" i="138"/>
  <c r="S102" i="138"/>
  <c r="S101" i="138"/>
  <c r="S112" i="138"/>
  <c r="S47" i="138"/>
  <c r="S24" i="138"/>
  <c r="R39" i="138"/>
  <c r="S39" i="138" s="1"/>
  <c r="S90" i="138"/>
  <c r="S97" i="138"/>
  <c r="S76" i="138"/>
  <c r="S80" i="138"/>
  <c r="S78" i="138"/>
  <c r="R33" i="138"/>
  <c r="S33" i="138" s="1"/>
  <c r="S58" i="138"/>
  <c r="R32" i="138"/>
  <c r="O166" i="138"/>
  <c r="S72" i="138"/>
  <c r="S103" i="138"/>
  <c r="S91" i="138"/>
  <c r="S113" i="138"/>
  <c r="O135" i="138"/>
  <c r="O136" i="138" s="1"/>
  <c r="S87" i="138"/>
  <c r="S61" i="138"/>
  <c r="R42" i="141"/>
  <c r="S42" i="141" s="1"/>
  <c r="R130" i="141"/>
  <c r="S130" i="141" s="1"/>
  <c r="R110" i="140"/>
  <c r="S110" i="140" s="1"/>
  <c r="R54" i="140"/>
  <c r="S54" i="140" s="1"/>
  <c r="R55" i="140"/>
  <c r="S55" i="140" s="1"/>
  <c r="R86" i="140"/>
  <c r="S86" i="140" s="1"/>
  <c r="R43" i="140"/>
  <c r="S43" i="140" s="1"/>
  <c r="R56" i="140"/>
  <c r="S56" i="140" s="1"/>
  <c r="R37" i="140"/>
  <c r="S37" i="140" s="1"/>
  <c r="R93" i="140"/>
  <c r="S93" i="140" s="1"/>
  <c r="R71" i="140"/>
  <c r="S71" i="140" s="1"/>
  <c r="R130" i="140"/>
  <c r="S130" i="140" s="1"/>
  <c r="R118" i="140"/>
  <c r="S118" i="140" s="1"/>
  <c r="S24" i="140"/>
  <c r="R24" i="140"/>
  <c r="R64" i="140"/>
  <c r="S64" i="140" s="1"/>
  <c r="R69" i="140"/>
  <c r="S69" i="140" s="1"/>
  <c r="R25" i="140"/>
  <c r="S25" i="140" s="1"/>
  <c r="R100" i="140"/>
  <c r="S100" i="140" s="1"/>
  <c r="R79" i="140"/>
  <c r="S79" i="140" s="1"/>
  <c r="R67" i="140"/>
  <c r="S67" i="140" s="1"/>
  <c r="R45" i="140"/>
  <c r="S45" i="140" s="1"/>
  <c r="R47" i="140"/>
  <c r="S47" i="140" s="1"/>
  <c r="R72" i="140"/>
  <c r="S72" i="140" s="1"/>
  <c r="R52" i="140"/>
  <c r="S52" i="140" s="1"/>
  <c r="R95" i="140"/>
  <c r="R119" i="140"/>
  <c r="S119" i="140" s="1"/>
  <c r="R23" i="140"/>
  <c r="S23" i="140" s="1"/>
  <c r="R83" i="140"/>
  <c r="S83" i="140" s="1"/>
  <c r="R122" i="140"/>
  <c r="S122" i="140" s="1"/>
  <c r="R27" i="140"/>
  <c r="S27" i="140" s="1"/>
  <c r="R76" i="140"/>
  <c r="S76" i="140" s="1"/>
  <c r="R78" i="140"/>
  <c r="S78" i="140" s="1"/>
  <c r="R65" i="140"/>
  <c r="S65" i="140" s="1"/>
  <c r="R94" i="140"/>
  <c r="S94" i="140" s="1"/>
  <c r="R98" i="140"/>
  <c r="S98" i="140" s="1"/>
  <c r="R57" i="140"/>
  <c r="S57" i="140" s="1"/>
  <c r="R115" i="140"/>
  <c r="S115" i="140" s="1"/>
  <c r="R129" i="140"/>
  <c r="S129" i="140" s="1"/>
  <c r="R39" i="140"/>
  <c r="S39" i="140" s="1"/>
  <c r="R29" i="140"/>
  <c r="S29" i="140" s="1"/>
  <c r="R50" i="140"/>
  <c r="S50" i="140" s="1"/>
  <c r="R84" i="140"/>
  <c r="S84" i="140" s="1"/>
  <c r="R116" i="140"/>
  <c r="S116" i="140" s="1"/>
  <c r="R35" i="140"/>
  <c r="S35" i="140" s="1"/>
  <c r="R132" i="140"/>
  <c r="S132" i="140" s="1"/>
  <c r="R89" i="140"/>
  <c r="S89" i="140" s="1"/>
  <c r="R38" i="140"/>
  <c r="S38" i="140" s="1"/>
  <c r="R41" i="140"/>
  <c r="S41" i="140" s="1"/>
  <c r="R30" i="140"/>
  <c r="S30" i="140" s="1"/>
  <c r="R51" i="140"/>
  <c r="S51" i="140" s="1"/>
  <c r="R88" i="140"/>
  <c r="S88" i="140" s="1"/>
  <c r="R120" i="140"/>
  <c r="S120" i="140" s="1"/>
  <c r="R36" i="140"/>
  <c r="S36" i="140" s="1"/>
  <c r="R61" i="140"/>
  <c r="S61" i="140" s="1"/>
  <c r="R77" i="140"/>
  <c r="S77" i="140" s="1"/>
  <c r="R121" i="140"/>
  <c r="S121" i="140" s="1"/>
  <c r="S40" i="140"/>
  <c r="R40" i="140"/>
  <c r="R92" i="140"/>
  <c r="S92" i="140" s="1"/>
  <c r="R124" i="140"/>
  <c r="S124" i="140" s="1"/>
  <c r="R127" i="140"/>
  <c r="S127" i="140" s="1"/>
  <c r="R58" i="140"/>
  <c r="S58" i="140" s="1"/>
  <c r="R82" i="140"/>
  <c r="S82" i="140" s="1"/>
  <c r="R42" i="140"/>
  <c r="S42" i="140" s="1"/>
  <c r="R46" i="140"/>
  <c r="S46" i="140" s="1"/>
  <c r="R96" i="140"/>
  <c r="S96" i="140" s="1"/>
  <c r="R128" i="140"/>
  <c r="S128" i="140" s="1"/>
  <c r="R63" i="140"/>
  <c r="S63" i="140" s="1"/>
  <c r="R105" i="140"/>
  <c r="S105" i="140" s="1"/>
  <c r="R87" i="140"/>
  <c r="S87" i="140" s="1"/>
  <c r="R97" i="140"/>
  <c r="S97" i="140" s="1"/>
  <c r="R44" i="140"/>
  <c r="S44" i="140" s="1"/>
  <c r="R131" i="140"/>
  <c r="S131" i="140" s="1"/>
  <c r="R68" i="140"/>
  <c r="S68" i="140" s="1"/>
  <c r="O135" i="140"/>
  <c r="O136" i="140" s="1"/>
  <c r="R22" i="140"/>
  <c r="S22" i="140" s="1"/>
  <c r="R33" i="140"/>
  <c r="S33" i="140" s="1"/>
  <c r="R103" i="140"/>
  <c r="S103" i="140" s="1"/>
  <c r="R134" i="140"/>
  <c r="S134" i="140" s="1"/>
  <c r="R101" i="140"/>
  <c r="S101" i="140" s="1"/>
  <c r="R26" i="140"/>
  <c r="S26" i="140" s="1"/>
  <c r="R104" i="140"/>
  <c r="S104" i="140" s="1"/>
  <c r="R32" i="140"/>
  <c r="S32" i="140" s="1"/>
  <c r="R90" i="140"/>
  <c r="S90" i="140" s="1"/>
  <c r="R74" i="140"/>
  <c r="S74" i="140" s="1"/>
  <c r="R48" i="140"/>
  <c r="S48" i="140" s="1"/>
  <c r="R108" i="140"/>
  <c r="S108" i="140" s="1"/>
  <c r="R60" i="140"/>
  <c r="S60" i="140" s="1"/>
  <c r="R111" i="140"/>
  <c r="S111" i="140" s="1"/>
  <c r="R114" i="140"/>
  <c r="S114" i="140" s="1"/>
  <c r="R62" i="140"/>
  <c r="S62" i="140" s="1"/>
  <c r="R66" i="140"/>
  <c r="S66" i="140" s="1"/>
  <c r="R106" i="140"/>
  <c r="S106" i="140" s="1"/>
  <c r="R99" i="140"/>
  <c r="S99" i="140" s="1"/>
  <c r="R73" i="140"/>
  <c r="S73" i="140" s="1"/>
  <c r="R133" i="140"/>
  <c r="S133" i="140" s="1"/>
  <c r="R28" i="140"/>
  <c r="S28" i="140" s="1"/>
  <c r="R49" i="140"/>
  <c r="S49" i="140" s="1"/>
  <c r="R80" i="140"/>
  <c r="S80" i="140" s="1"/>
  <c r="R112" i="140"/>
  <c r="S112" i="140" s="1"/>
  <c r="R34" i="140"/>
  <c r="S34" i="140" s="1"/>
  <c r="S48" i="139"/>
  <c r="S73" i="139"/>
  <c r="S130" i="139"/>
  <c r="R122" i="139"/>
  <c r="S122" i="139" s="1"/>
  <c r="R67" i="139"/>
  <c r="S67" i="139" s="1"/>
  <c r="R97" i="139"/>
  <c r="S97" i="139" s="1"/>
  <c r="R27" i="139"/>
  <c r="S27" i="139" s="1"/>
  <c r="R92" i="139"/>
  <c r="S92" i="139" s="1"/>
  <c r="R54" i="139"/>
  <c r="S54" i="139" s="1"/>
  <c r="R114" i="139"/>
  <c r="S114" i="139" s="1"/>
  <c r="R129" i="139"/>
  <c r="S129" i="139" s="1"/>
  <c r="R88" i="139"/>
  <c r="S88" i="139" s="1"/>
  <c r="R103" i="139"/>
  <c r="S103" i="139" s="1"/>
  <c r="R85" i="139"/>
  <c r="S85" i="139" s="1"/>
  <c r="R106" i="139"/>
  <c r="S106" i="139" s="1"/>
  <c r="R46" i="139"/>
  <c r="S46" i="139" s="1"/>
  <c r="R96" i="139"/>
  <c r="S96" i="139" s="1"/>
  <c r="O135" i="139"/>
  <c r="O136" i="139" s="1"/>
  <c r="R22" i="139"/>
  <c r="S30" i="139"/>
  <c r="R30" i="139"/>
  <c r="R102" i="139"/>
  <c r="S102" i="139" s="1"/>
  <c r="R121" i="139"/>
  <c r="S121" i="139" s="1"/>
  <c r="R98" i="139"/>
  <c r="S98" i="139" s="1"/>
  <c r="R100" i="139"/>
  <c r="S100" i="139" s="1"/>
  <c r="R71" i="139"/>
  <c r="S71" i="139" s="1"/>
  <c r="R49" i="139"/>
  <c r="S49" i="139" s="1"/>
  <c r="R77" i="139"/>
  <c r="S77" i="139" s="1"/>
  <c r="R89" i="139"/>
  <c r="S89" i="139" s="1"/>
  <c r="R124" i="139"/>
  <c r="S124" i="139" s="1"/>
  <c r="R33" i="139"/>
  <c r="S33" i="139" s="1"/>
  <c r="R50" i="139"/>
  <c r="S50" i="139" s="1"/>
  <c r="R75" i="139"/>
  <c r="S75" i="139" s="1"/>
  <c r="R63" i="139"/>
  <c r="S63" i="139" s="1"/>
  <c r="R42" i="139"/>
  <c r="S42" i="139" s="1"/>
  <c r="R26" i="139"/>
  <c r="S26" i="139" s="1"/>
  <c r="R113" i="139"/>
  <c r="S113" i="139" s="1"/>
  <c r="R82" i="139"/>
  <c r="S82" i="139" s="1"/>
  <c r="R23" i="139"/>
  <c r="S23" i="139" s="1"/>
  <c r="R101" i="139"/>
  <c r="S101" i="139" s="1"/>
  <c r="R84" i="139"/>
  <c r="S84" i="139" s="1"/>
  <c r="R76" i="139"/>
  <c r="S76" i="139" s="1"/>
  <c r="R119" i="139"/>
  <c r="S119" i="139" s="1"/>
  <c r="R24" i="139"/>
  <c r="S24" i="139" s="1"/>
  <c r="R36" i="139"/>
  <c r="S36" i="139" s="1"/>
  <c r="R118" i="139"/>
  <c r="S118" i="139" s="1"/>
  <c r="R80" i="139"/>
  <c r="S80" i="139" s="1"/>
  <c r="R40" i="139"/>
  <c r="R111" i="139"/>
  <c r="S111" i="139" s="1"/>
  <c r="R53" i="139"/>
  <c r="S53" i="139" s="1"/>
  <c r="R74" i="139"/>
  <c r="S74" i="139" s="1"/>
  <c r="R34" i="139"/>
  <c r="S34" i="139" s="1"/>
  <c r="R104" i="139"/>
  <c r="S104" i="139" s="1"/>
  <c r="R123" i="139"/>
  <c r="S123" i="139" s="1"/>
  <c r="R86" i="139"/>
  <c r="S86" i="139" s="1"/>
  <c r="R52" i="139"/>
  <c r="S52" i="139" s="1"/>
  <c r="R37" i="139"/>
  <c r="S37" i="139" s="1"/>
  <c r="R108" i="139"/>
  <c r="S108" i="139" s="1"/>
  <c r="R78" i="139"/>
  <c r="S78" i="139" s="1"/>
  <c r="R62" i="139"/>
  <c r="S62" i="139" s="1"/>
  <c r="R51" i="139"/>
  <c r="S51" i="139" s="1"/>
  <c r="R112" i="139"/>
  <c r="S112" i="139" s="1"/>
  <c r="R134" i="139"/>
  <c r="S134" i="139" s="1"/>
  <c r="R117" i="139"/>
  <c r="S117" i="139" s="1"/>
  <c r="R132" i="139"/>
  <c r="S132" i="139" s="1"/>
  <c r="R56" i="139"/>
  <c r="S56" i="139" s="1"/>
  <c r="R116" i="139"/>
  <c r="S116" i="139" s="1"/>
  <c r="R58" i="139"/>
  <c r="S58" i="139" s="1"/>
  <c r="R66" i="139"/>
  <c r="S66" i="139" s="1"/>
  <c r="R28" i="139"/>
  <c r="S28" i="139" s="1"/>
  <c r="R94" i="139"/>
  <c r="S94" i="139" s="1"/>
  <c r="R57" i="139"/>
  <c r="S57" i="139" s="1"/>
  <c r="R64" i="139"/>
  <c r="S64" i="139" s="1"/>
  <c r="R60" i="139"/>
  <c r="S60" i="139" s="1"/>
  <c r="R120" i="139"/>
  <c r="S120" i="139" s="1"/>
  <c r="R39" i="139"/>
  <c r="S39" i="139" s="1"/>
  <c r="R105" i="139"/>
  <c r="S105" i="139" s="1"/>
  <c r="R35" i="139"/>
  <c r="S35" i="139" s="1"/>
  <c r="R81" i="139"/>
  <c r="S81" i="139" s="1"/>
  <c r="R65" i="139"/>
  <c r="S65" i="139" s="1"/>
  <c r="R109" i="139"/>
  <c r="S109" i="139" s="1"/>
  <c r="R32" i="139"/>
  <c r="S32" i="139" s="1"/>
  <c r="R69" i="139"/>
  <c r="S69" i="139" s="1"/>
  <c r="R68" i="139"/>
  <c r="S68" i="139" s="1"/>
  <c r="R72" i="139"/>
  <c r="S72" i="139" s="1"/>
  <c r="R128" i="139"/>
  <c r="S128" i="139" s="1"/>
  <c r="S54" i="138"/>
  <c r="S94" i="138"/>
  <c r="S22" i="138"/>
  <c r="S107" i="138"/>
  <c r="S68" i="138"/>
  <c r="S105" i="138"/>
  <c r="S86" i="138"/>
  <c r="S55" i="138"/>
  <c r="S123" i="138"/>
  <c r="R23" i="138"/>
  <c r="S23" i="138" s="1"/>
  <c r="S45" i="138"/>
  <c r="S84" i="138"/>
  <c r="S67" i="138"/>
  <c r="S73" i="138"/>
  <c r="S27" i="138"/>
  <c r="S99" i="138"/>
  <c r="S124" i="138"/>
  <c r="S48" i="138"/>
  <c r="S104" i="138"/>
  <c r="S69" i="138"/>
  <c r="S75" i="138"/>
  <c r="R131" i="138"/>
  <c r="S131" i="138" s="1"/>
  <c r="S120" i="138"/>
  <c r="S30" i="138"/>
  <c r="S81" i="138"/>
  <c r="R26" i="138"/>
  <c r="S26" i="138" s="1"/>
  <c r="R60" i="137"/>
  <c r="S60" i="137" s="1"/>
  <c r="R86" i="137"/>
  <c r="S86" i="137" s="1"/>
  <c r="R41" i="137"/>
  <c r="S41" i="137" s="1"/>
  <c r="R66" i="137"/>
  <c r="S66" i="137" s="1"/>
  <c r="R128" i="137"/>
  <c r="S128" i="137" s="1"/>
  <c r="R72" i="137"/>
  <c r="S72" i="137" s="1"/>
  <c r="R95" i="137"/>
  <c r="S95" i="137" s="1"/>
  <c r="R61" i="137"/>
  <c r="S61" i="137" s="1"/>
  <c r="R109" i="137"/>
  <c r="S109" i="137" s="1"/>
  <c r="R74" i="137"/>
  <c r="S74" i="137" s="1"/>
  <c r="R84" i="137"/>
  <c r="S84" i="137" s="1"/>
  <c r="R67" i="137"/>
  <c r="S67" i="137" s="1"/>
  <c r="R88" i="137"/>
  <c r="S88" i="137" s="1"/>
  <c r="R94" i="137"/>
  <c r="S94" i="137" s="1"/>
  <c r="R62" i="137"/>
  <c r="S62" i="137" s="1"/>
  <c r="R102" i="137"/>
  <c r="S102" i="137" s="1"/>
  <c r="R116" i="137"/>
  <c r="S116" i="137" s="1"/>
  <c r="R30" i="137"/>
  <c r="S30" i="137" s="1"/>
  <c r="R89" i="137"/>
  <c r="S89" i="137" s="1"/>
  <c r="R104" i="137"/>
  <c r="S104" i="137" s="1"/>
  <c r="R122" i="137"/>
  <c r="S122" i="137" s="1"/>
  <c r="R34" i="137"/>
  <c r="S34" i="137" s="1"/>
  <c r="R117" i="137"/>
  <c r="S117" i="137" s="1"/>
  <c r="R99" i="137"/>
  <c r="S99" i="137" s="1"/>
  <c r="R73" i="137"/>
  <c r="S73" i="137" s="1"/>
  <c r="R105" i="137"/>
  <c r="S105" i="137" s="1"/>
  <c r="R63" i="137"/>
  <c r="S63" i="137" s="1"/>
  <c r="R119" i="137"/>
  <c r="S119" i="137" s="1"/>
  <c r="R101" i="137"/>
  <c r="S101" i="137" s="1"/>
  <c r="R52" i="137"/>
  <c r="S52" i="137" s="1"/>
  <c r="R97" i="137"/>
  <c r="S97" i="137" s="1"/>
  <c r="R26" i="137"/>
  <c r="S26" i="137" s="1"/>
  <c r="R75" i="137"/>
  <c r="S75" i="137" s="1"/>
  <c r="R51" i="137"/>
  <c r="S51" i="137" s="1"/>
  <c r="R77" i="137"/>
  <c r="S77" i="137" s="1"/>
  <c r="R100" i="137"/>
  <c r="S100" i="137" s="1"/>
  <c r="R69" i="137"/>
  <c r="S69" i="137" s="1"/>
  <c r="R42" i="137"/>
  <c r="S42" i="137" s="1"/>
  <c r="R27" i="137"/>
  <c r="S27" i="137" s="1"/>
  <c r="R76" i="137"/>
  <c r="S76" i="137" s="1"/>
  <c r="R81" i="137"/>
  <c r="S81" i="137" s="1"/>
  <c r="R83" i="137"/>
  <c r="S83" i="137" s="1"/>
  <c r="R80" i="137"/>
  <c r="S80" i="137" s="1"/>
  <c r="R64" i="137"/>
  <c r="S64" i="137" s="1"/>
  <c r="R87" i="137"/>
  <c r="S87" i="137" s="1"/>
  <c r="R93" i="137"/>
  <c r="S93" i="137" s="1"/>
  <c r="R35" i="137"/>
  <c r="S35" i="137" s="1"/>
  <c r="R108" i="137"/>
  <c r="S108" i="137" s="1"/>
  <c r="R24" i="137"/>
  <c r="R90" i="137"/>
  <c r="S90" i="137" s="1"/>
  <c r="R96" i="137"/>
  <c r="S96" i="137" s="1"/>
  <c r="O135" i="137"/>
  <c r="O136" i="137" s="1"/>
  <c r="R22" i="137"/>
  <c r="S22" i="137" s="1"/>
  <c r="R50" i="137"/>
  <c r="S50" i="137" s="1"/>
  <c r="R131" i="137"/>
  <c r="S131" i="137" s="1"/>
  <c r="R39" i="137"/>
  <c r="S39" i="137" s="1"/>
  <c r="R46" i="137"/>
  <c r="S46" i="137" s="1"/>
  <c r="R65" i="137"/>
  <c r="S65" i="137" s="1"/>
  <c r="R23" i="137"/>
  <c r="S23" i="137" s="1"/>
  <c r="R103" i="137"/>
  <c r="S103" i="137" s="1"/>
  <c r="R85" i="137"/>
  <c r="S85" i="137" s="1"/>
  <c r="R110" i="137"/>
  <c r="S110" i="137" s="1"/>
  <c r="R68" i="137"/>
  <c r="S68" i="137" s="1"/>
  <c r="R57" i="137"/>
  <c r="S57" i="137" s="1"/>
  <c r="R92" i="137"/>
  <c r="S92" i="137" s="1"/>
  <c r="R33" i="137"/>
  <c r="S33" i="137" s="1"/>
  <c r="R111" i="137"/>
  <c r="S111" i="137" s="1"/>
  <c r="R118" i="137"/>
  <c r="S118" i="137" s="1"/>
  <c r="R70" i="137"/>
  <c r="S70" i="137" s="1"/>
  <c r="R132" i="137"/>
  <c r="S132" i="137" s="1"/>
  <c r="R130" i="137"/>
  <c r="S130" i="137" s="1"/>
  <c r="R59" i="137"/>
  <c r="S59" i="137" s="1"/>
  <c r="R98" i="137"/>
  <c r="S98" i="137" s="1"/>
  <c r="R112" i="137"/>
  <c r="S112" i="137" s="1"/>
  <c r="R49" i="137"/>
  <c r="S49" i="137" s="1"/>
  <c r="R54" i="137"/>
  <c r="S54" i="137" s="1"/>
  <c r="R53" i="137"/>
  <c r="S53" i="137" s="1"/>
  <c r="R28" i="137"/>
  <c r="S28" i="137" s="1"/>
  <c r="R127" i="137"/>
  <c r="S127" i="137" s="1"/>
  <c r="R123" i="137"/>
  <c r="S123" i="137" s="1"/>
  <c r="R107" i="137"/>
  <c r="S107" i="137" s="1"/>
  <c r="R71" i="137"/>
  <c r="S71" i="137" s="1"/>
  <c r="R120" i="137"/>
  <c r="S120" i="137" s="1"/>
  <c r="R47" i="137"/>
  <c r="S47" i="137" s="1"/>
  <c r="R124" i="137"/>
  <c r="S124" i="137" s="1"/>
  <c r="R40" i="137"/>
  <c r="S40" i="137" s="1"/>
  <c r="R91" i="137"/>
  <c r="S91" i="137" s="1"/>
  <c r="R78" i="137"/>
  <c r="S78" i="137" s="1"/>
  <c r="R106" i="137"/>
  <c r="S106" i="137" s="1"/>
  <c r="R44" i="137"/>
  <c r="S44" i="137" s="1"/>
  <c r="R36" i="137"/>
  <c r="S36" i="137" s="1"/>
  <c r="R45" i="137"/>
  <c r="S45" i="137" s="1"/>
  <c r="R121" i="137"/>
  <c r="S121" i="137" s="1"/>
  <c r="R37" i="137"/>
  <c r="S37" i="137" s="1"/>
  <c r="R25" i="137"/>
  <c r="S25" i="137" s="1"/>
  <c r="R79" i="137"/>
  <c r="S79" i="137" s="1"/>
  <c r="R134" i="137"/>
  <c r="S134" i="137" s="1"/>
  <c r="R133" i="137"/>
  <c r="S133" i="137" s="1"/>
  <c r="R48" i="137"/>
  <c r="S48" i="137" s="1"/>
  <c r="R43" i="137"/>
  <c r="S43" i="137" s="1"/>
  <c r="R115" i="137"/>
  <c r="S115" i="137" s="1"/>
  <c r="R114" i="137"/>
  <c r="S114" i="137" s="1"/>
  <c r="R38" i="137"/>
  <c r="S38" i="137" s="1"/>
  <c r="R129" i="137"/>
  <c r="S129" i="137" s="1"/>
  <c r="R29" i="137"/>
  <c r="S29" i="137" s="1"/>
  <c r="R58" i="137"/>
  <c r="S58" i="137" s="1"/>
  <c r="R113" i="137"/>
  <c r="S113" i="137" s="1"/>
  <c r="S56" i="137"/>
  <c r="R56" i="137"/>
  <c r="R55" i="137"/>
  <c r="S55" i="137" s="1"/>
  <c r="R82" i="137"/>
  <c r="S82" i="137" s="1"/>
  <c r="AA179" i="134" l="1"/>
  <c r="Z197" i="134"/>
  <c r="R164" i="134"/>
  <c r="Z49" i="134"/>
  <c r="AA49" i="134" s="1"/>
  <c r="S166" i="134"/>
  <c r="R197" i="134"/>
  <c r="S197" i="134" s="1"/>
  <c r="K198" i="134"/>
  <c r="AA71" i="134"/>
  <c r="AA70" i="134"/>
  <c r="AA46" i="134"/>
  <c r="Z97" i="134"/>
  <c r="AA97" i="134" s="1"/>
  <c r="AA44" i="134"/>
  <c r="AA95" i="134"/>
  <c r="Z131" i="134"/>
  <c r="AA131" i="134" s="1"/>
  <c r="Z103" i="134"/>
  <c r="AA103" i="134" s="1"/>
  <c r="AA52" i="134"/>
  <c r="AA75" i="134"/>
  <c r="AA142" i="134"/>
  <c r="AA94" i="134"/>
  <c r="Z111" i="134"/>
  <c r="AA111" i="134" s="1"/>
  <c r="Z31" i="134"/>
  <c r="AA31" i="134" s="1"/>
  <c r="AA154" i="134"/>
  <c r="AA153" i="134"/>
  <c r="AA161" i="134"/>
  <c r="AA139" i="134"/>
  <c r="AA74" i="134"/>
  <c r="AA160" i="134"/>
  <c r="AA92" i="134"/>
  <c r="Z121" i="134"/>
  <c r="AA121" i="134" s="1"/>
  <c r="Z105" i="134"/>
  <c r="AA105" i="134" s="1"/>
  <c r="Z104" i="134"/>
  <c r="AA104" i="134" s="1"/>
  <c r="Z87" i="134"/>
  <c r="AA87" i="134" s="1"/>
  <c r="AA68" i="134"/>
  <c r="Z116" i="134"/>
  <c r="AA116" i="134" s="1"/>
  <c r="Z101" i="134"/>
  <c r="AA101" i="134" s="1"/>
  <c r="AA40" i="134"/>
  <c r="AA143" i="134"/>
  <c r="AA65" i="134"/>
  <c r="AA76" i="134"/>
  <c r="AA78" i="134"/>
  <c r="AA62" i="134"/>
  <c r="AA155" i="134"/>
  <c r="Z93" i="134"/>
  <c r="AA93" i="134" s="1"/>
  <c r="Z125" i="134"/>
  <c r="AA125" i="134" s="1"/>
  <c r="Z90" i="134"/>
  <c r="AA90" i="134" s="1"/>
  <c r="AA63" i="134"/>
  <c r="AA80" i="134"/>
  <c r="AA119" i="134"/>
  <c r="AA158" i="134"/>
  <c r="Z110" i="134"/>
  <c r="AA110" i="134" s="1"/>
  <c r="AA41" i="134"/>
  <c r="AA146" i="134"/>
  <c r="AA147" i="134"/>
  <c r="AA84" i="134"/>
  <c r="Z113" i="134"/>
  <c r="AA113" i="134" s="1"/>
  <c r="AA60" i="134"/>
  <c r="AA64" i="134"/>
  <c r="Z117" i="134"/>
  <c r="AA117" i="134" s="1"/>
  <c r="AA50" i="134"/>
  <c r="Z130" i="134"/>
  <c r="AA130" i="134" s="1"/>
  <c r="AA56" i="134"/>
  <c r="Z114" i="134"/>
  <c r="AA114" i="134" s="1"/>
  <c r="AA73" i="134"/>
  <c r="Z124" i="134"/>
  <c r="AA124" i="134" s="1"/>
  <c r="AA140" i="134"/>
  <c r="Z100" i="134"/>
  <c r="AA100" i="134" s="1"/>
  <c r="AA47" i="134"/>
  <c r="Z127" i="134"/>
  <c r="AA127" i="134" s="1"/>
  <c r="AA157" i="134"/>
  <c r="AA79" i="134"/>
  <c r="Z128" i="134"/>
  <c r="AA128" i="134" s="1"/>
  <c r="AA43" i="134"/>
  <c r="AA152" i="134"/>
  <c r="AA137" i="134"/>
  <c r="AA149" i="134"/>
  <c r="AA151" i="134"/>
  <c r="AA42" i="134"/>
  <c r="AA59" i="134"/>
  <c r="Z133" i="134"/>
  <c r="AA133" i="134" s="1"/>
  <c r="Z118" i="134"/>
  <c r="AA118" i="134" s="1"/>
  <c r="AA88" i="134"/>
  <c r="AA145" i="134"/>
  <c r="AA58" i="134"/>
  <c r="AA107" i="134"/>
  <c r="AA108" i="134"/>
  <c r="AA163" i="134"/>
  <c r="AA67" i="134"/>
  <c r="AA77" i="134"/>
  <c r="AA138" i="134"/>
  <c r="Z98" i="134"/>
  <c r="AA98" i="134" s="1"/>
  <c r="AA91" i="134"/>
  <c r="R135" i="141"/>
  <c r="R136" i="141" s="1"/>
  <c r="S24" i="137"/>
  <c r="R166" i="137"/>
  <c r="S166" i="137" s="1"/>
  <c r="S95" i="140"/>
  <c r="R166" i="140"/>
  <c r="S166" i="140" s="1"/>
  <c r="R166" i="139"/>
  <c r="S166" i="139" s="1"/>
  <c r="R166" i="138"/>
  <c r="S166" i="138" s="1"/>
  <c r="S32" i="138"/>
  <c r="R135" i="138"/>
  <c r="R136" i="138" s="1"/>
  <c r="R135" i="140"/>
  <c r="S40" i="139"/>
  <c r="R135" i="139"/>
  <c r="S22" i="139"/>
  <c r="R135" i="137"/>
  <c r="AC90" i="134"/>
  <c r="AG46" i="134"/>
  <c r="AI46" i="134" s="1"/>
  <c r="AG45" i="134"/>
  <c r="AG37" i="134"/>
  <c r="AP34" i="134"/>
  <c r="AI34" i="134"/>
  <c r="AP33" i="134"/>
  <c r="AI31" i="134"/>
  <c r="R198" i="134" l="1"/>
  <c r="S198" i="134" s="1"/>
  <c r="S164" i="134"/>
  <c r="AA197" i="134"/>
  <c r="W198" i="134"/>
  <c r="S135" i="141"/>
  <c r="S136" i="141" s="1"/>
  <c r="S135" i="138"/>
  <c r="S136" i="138" s="1"/>
  <c r="R136" i="140"/>
  <c r="S135" i="140"/>
  <c r="S136" i="140" s="1"/>
  <c r="R136" i="139"/>
  <c r="S135" i="139"/>
  <c r="S136" i="139" s="1"/>
  <c r="S135" i="137"/>
  <c r="S136" i="137" s="1"/>
  <c r="R136" i="137"/>
  <c r="AI33" i="134"/>
  <c r="AQ34" i="134"/>
  <c r="AQ37" i="134"/>
  <c r="AQ45" i="134"/>
  <c r="AQ46" i="134"/>
  <c r="S135" i="133"/>
  <c r="S136" i="133" s="1"/>
  <c r="T30" i="133"/>
  <c r="T26" i="133"/>
  <c r="O134" i="133"/>
  <c r="T134" i="133" s="1"/>
  <c r="O133" i="133"/>
  <c r="N133" i="133" s="1"/>
  <c r="O132" i="133"/>
  <c r="T132" i="133" s="1"/>
  <c r="O131" i="133"/>
  <c r="O130" i="133"/>
  <c r="N130" i="133" s="1"/>
  <c r="O129" i="133"/>
  <c r="T129" i="133" s="1"/>
  <c r="O128" i="133"/>
  <c r="N128" i="133" s="1"/>
  <c r="O127" i="133"/>
  <c r="N127" i="133" s="1"/>
  <c r="O126" i="133"/>
  <c r="N126" i="133" s="1"/>
  <c r="O125" i="133"/>
  <c r="T125" i="133" s="1"/>
  <c r="O124" i="133"/>
  <c r="N124" i="133" s="1"/>
  <c r="O123" i="133"/>
  <c r="O122" i="133"/>
  <c r="N122" i="133" s="1"/>
  <c r="O121" i="133"/>
  <c r="T121" i="133" s="1"/>
  <c r="O120" i="133"/>
  <c r="T120" i="133" s="1"/>
  <c r="O119" i="133"/>
  <c r="T119" i="133" s="1"/>
  <c r="O118" i="133"/>
  <c r="T118" i="133" s="1"/>
  <c r="O117" i="133"/>
  <c r="O116" i="133"/>
  <c r="T116" i="133" s="1"/>
  <c r="O115" i="133"/>
  <c r="T115" i="133" s="1"/>
  <c r="O114" i="133"/>
  <c r="T114" i="133" s="1"/>
  <c r="O113" i="133"/>
  <c r="O112" i="133"/>
  <c r="N112" i="133" s="1"/>
  <c r="O111" i="133"/>
  <c r="T111" i="133" s="1"/>
  <c r="O110" i="133"/>
  <c r="N110" i="133" s="1"/>
  <c r="O109" i="133"/>
  <c r="O108" i="133"/>
  <c r="N108" i="133" s="1"/>
  <c r="O107" i="133"/>
  <c r="T107" i="133" s="1"/>
  <c r="O106" i="133"/>
  <c r="N106" i="133" s="1"/>
  <c r="O105" i="133"/>
  <c r="N105" i="133" s="1"/>
  <c r="O104" i="133"/>
  <c r="T104" i="133" s="1"/>
  <c r="O103" i="133"/>
  <c r="N103" i="133" s="1"/>
  <c r="O102" i="133"/>
  <c r="O101" i="133"/>
  <c r="N101" i="133" s="1"/>
  <c r="O100" i="133"/>
  <c r="T100" i="133" s="1"/>
  <c r="O99" i="133"/>
  <c r="O98" i="133"/>
  <c r="O97" i="133"/>
  <c r="T97" i="133" s="1"/>
  <c r="O96" i="133"/>
  <c r="N96" i="133" s="1"/>
  <c r="O95" i="133"/>
  <c r="O94" i="133"/>
  <c r="N94" i="133" s="1"/>
  <c r="O93" i="133"/>
  <c r="T93" i="133" s="1"/>
  <c r="O92" i="133"/>
  <c r="N92" i="133" s="1"/>
  <c r="O91" i="133"/>
  <c r="O90" i="133"/>
  <c r="N90" i="133" s="1"/>
  <c r="O89" i="133"/>
  <c r="T89" i="133" s="1"/>
  <c r="O88" i="133"/>
  <c r="T88" i="133" s="1"/>
  <c r="O87" i="133"/>
  <c r="O86" i="133"/>
  <c r="N86" i="133" s="1"/>
  <c r="O85" i="133"/>
  <c r="O84" i="133"/>
  <c r="T84" i="133" s="1"/>
  <c r="O83" i="133"/>
  <c r="O82" i="133"/>
  <c r="T82" i="133" s="1"/>
  <c r="O81" i="133"/>
  <c r="T81" i="133" s="1"/>
  <c r="O80" i="133"/>
  <c r="T80" i="133" s="1"/>
  <c r="O79" i="133"/>
  <c r="N79" i="133" s="1"/>
  <c r="O78" i="133"/>
  <c r="T78" i="133" s="1"/>
  <c r="O77" i="133"/>
  <c r="N77" i="133" s="1"/>
  <c r="O76" i="133"/>
  <c r="O75" i="133"/>
  <c r="N75" i="133" s="1"/>
  <c r="O74" i="133"/>
  <c r="T74" i="133" s="1"/>
  <c r="O73" i="133"/>
  <c r="T73" i="133" s="1"/>
  <c r="O72" i="133"/>
  <c r="T72" i="133" s="1"/>
  <c r="O71" i="133"/>
  <c r="T71" i="133" s="1"/>
  <c r="O70" i="133"/>
  <c r="N70" i="133" s="1"/>
  <c r="O69" i="133"/>
  <c r="O68" i="133"/>
  <c r="N68" i="133" s="1"/>
  <c r="O67" i="133"/>
  <c r="T67" i="133" s="1"/>
  <c r="O66" i="133"/>
  <c r="O65" i="133"/>
  <c r="N65" i="133" s="1"/>
  <c r="O64" i="133"/>
  <c r="T64" i="133" s="1"/>
  <c r="O63" i="133"/>
  <c r="T63" i="133" s="1"/>
  <c r="O62" i="133"/>
  <c r="O61" i="133"/>
  <c r="O60" i="133"/>
  <c r="O59" i="133"/>
  <c r="T59" i="133" s="1"/>
  <c r="O58" i="133"/>
  <c r="N58" i="133" s="1"/>
  <c r="O57" i="133"/>
  <c r="T57" i="133" s="1"/>
  <c r="O56" i="133"/>
  <c r="T56" i="133" s="1"/>
  <c r="O55" i="133"/>
  <c r="N55" i="133" s="1"/>
  <c r="O54" i="133"/>
  <c r="T54" i="133" s="1"/>
  <c r="O53" i="133"/>
  <c r="N53" i="133" s="1"/>
  <c r="O52" i="133"/>
  <c r="O51" i="133"/>
  <c r="N51" i="133" s="1"/>
  <c r="O50" i="133"/>
  <c r="T50" i="133" s="1"/>
  <c r="O49" i="133"/>
  <c r="O48" i="133"/>
  <c r="N48" i="133" s="1"/>
  <c r="O47" i="133"/>
  <c r="O46" i="133"/>
  <c r="O45" i="133"/>
  <c r="T45" i="133" s="1"/>
  <c r="O44" i="133"/>
  <c r="N44" i="133" s="1"/>
  <c r="O43" i="133"/>
  <c r="T43" i="133" s="1"/>
  <c r="O42" i="133"/>
  <c r="N42" i="133" s="1"/>
  <c r="O41" i="133"/>
  <c r="O40" i="133"/>
  <c r="N40" i="133" s="1"/>
  <c r="O39" i="133"/>
  <c r="T39" i="133" s="1"/>
  <c r="O38" i="133"/>
  <c r="N38" i="133" s="1"/>
  <c r="O37" i="133"/>
  <c r="O36" i="133"/>
  <c r="T36" i="133" s="1"/>
  <c r="O35" i="133"/>
  <c r="T35" i="133" s="1"/>
  <c r="O34" i="133"/>
  <c r="O33" i="133"/>
  <c r="O32" i="133"/>
  <c r="N32" i="133" s="1"/>
  <c r="Q32" i="133" s="1"/>
  <c r="R32" i="133" s="1"/>
  <c r="O31" i="133"/>
  <c r="T31" i="133" s="1"/>
  <c r="O30" i="133"/>
  <c r="O29" i="133"/>
  <c r="N29" i="133" s="1"/>
  <c r="O28" i="133"/>
  <c r="T28" i="133" s="1"/>
  <c r="O27" i="133"/>
  <c r="T27" i="133" s="1"/>
  <c r="O26" i="133"/>
  <c r="N26" i="133" s="1"/>
  <c r="O25" i="133"/>
  <c r="O24" i="133"/>
  <c r="N24" i="133" s="1"/>
  <c r="O23" i="133"/>
  <c r="N23" i="133" s="1"/>
  <c r="O22" i="133"/>
  <c r="M134" i="133"/>
  <c r="M133" i="133"/>
  <c r="M132" i="133"/>
  <c r="M131" i="133"/>
  <c r="M130" i="133"/>
  <c r="M129" i="133"/>
  <c r="M128" i="133"/>
  <c r="M127" i="133"/>
  <c r="M126" i="133"/>
  <c r="M125" i="133"/>
  <c r="M124" i="133"/>
  <c r="M123" i="133"/>
  <c r="M122" i="133"/>
  <c r="M121" i="133"/>
  <c r="M120" i="133"/>
  <c r="M119" i="133"/>
  <c r="M118" i="133"/>
  <c r="M117" i="133"/>
  <c r="M116" i="133"/>
  <c r="M115" i="133"/>
  <c r="M114" i="133"/>
  <c r="M113" i="133"/>
  <c r="M112" i="133"/>
  <c r="M111" i="133"/>
  <c r="M110" i="133"/>
  <c r="M109" i="133"/>
  <c r="M108" i="133"/>
  <c r="M107" i="133"/>
  <c r="M106" i="133"/>
  <c r="M105" i="133"/>
  <c r="M104" i="133"/>
  <c r="M103" i="133"/>
  <c r="M102" i="133"/>
  <c r="M101" i="133"/>
  <c r="M100" i="133"/>
  <c r="M99" i="133"/>
  <c r="M98" i="133"/>
  <c r="M97" i="133"/>
  <c r="M96" i="133"/>
  <c r="M95" i="133"/>
  <c r="M94" i="133"/>
  <c r="M93" i="133"/>
  <c r="M92" i="133"/>
  <c r="M91" i="133"/>
  <c r="M90" i="133"/>
  <c r="M89" i="133"/>
  <c r="M88" i="133"/>
  <c r="M87" i="133"/>
  <c r="M86" i="133"/>
  <c r="M85" i="133"/>
  <c r="M84" i="133"/>
  <c r="M83" i="133"/>
  <c r="M82" i="133"/>
  <c r="M81" i="133"/>
  <c r="M80" i="133"/>
  <c r="M79" i="133"/>
  <c r="M78" i="133"/>
  <c r="M77" i="133"/>
  <c r="M76" i="133"/>
  <c r="M75" i="133"/>
  <c r="M74" i="133"/>
  <c r="M73" i="133"/>
  <c r="M72" i="133"/>
  <c r="M71" i="133"/>
  <c r="M70" i="133"/>
  <c r="M69" i="133"/>
  <c r="M68" i="133"/>
  <c r="M67" i="133"/>
  <c r="M66" i="133"/>
  <c r="M65" i="133"/>
  <c r="M64" i="133"/>
  <c r="M63" i="133"/>
  <c r="M62" i="133"/>
  <c r="M61" i="133"/>
  <c r="M60" i="133"/>
  <c r="M59" i="133"/>
  <c r="M58" i="133"/>
  <c r="M57" i="133"/>
  <c r="M56" i="133"/>
  <c r="M55" i="133"/>
  <c r="M54" i="133"/>
  <c r="M53" i="133"/>
  <c r="M52" i="133"/>
  <c r="M51" i="133"/>
  <c r="M50" i="133"/>
  <c r="M49" i="133"/>
  <c r="M48" i="133"/>
  <c r="M47" i="133"/>
  <c r="M46" i="133"/>
  <c r="M45" i="133"/>
  <c r="M44" i="133"/>
  <c r="M43" i="133"/>
  <c r="M42" i="133"/>
  <c r="M41" i="133"/>
  <c r="M40" i="133"/>
  <c r="M39" i="133"/>
  <c r="M38" i="133"/>
  <c r="M37" i="133"/>
  <c r="M36" i="133"/>
  <c r="M35" i="133"/>
  <c r="M34" i="133"/>
  <c r="M33" i="133"/>
  <c r="M32" i="133"/>
  <c r="M31" i="133"/>
  <c r="M30" i="133"/>
  <c r="M29" i="133"/>
  <c r="M28" i="133"/>
  <c r="M27" i="133"/>
  <c r="M26" i="133"/>
  <c r="M25" i="133"/>
  <c r="M24" i="133"/>
  <c r="M23" i="133"/>
  <c r="M22" i="133"/>
  <c r="N136" i="133"/>
  <c r="K136" i="133"/>
  <c r="G136" i="133"/>
  <c r="W135" i="133"/>
  <c r="W136" i="133" s="1"/>
  <c r="V135" i="133"/>
  <c r="V136" i="133" s="1"/>
  <c r="L135" i="133"/>
  <c r="L136" i="133" s="1"/>
  <c r="I135" i="133"/>
  <c r="I136" i="133" s="1"/>
  <c r="H135" i="133"/>
  <c r="H136" i="133" s="1"/>
  <c r="G135" i="133"/>
  <c r="F135" i="133"/>
  <c r="F136" i="133" s="1"/>
  <c r="E135" i="133"/>
  <c r="K134" i="133"/>
  <c r="T133" i="133"/>
  <c r="K133" i="133"/>
  <c r="K132" i="133"/>
  <c r="T131" i="133"/>
  <c r="N131" i="133"/>
  <c r="K131" i="133"/>
  <c r="T130" i="133"/>
  <c r="K130" i="133"/>
  <c r="N129" i="133"/>
  <c r="K129" i="133"/>
  <c r="K128" i="133"/>
  <c r="T127" i="133"/>
  <c r="K127" i="133"/>
  <c r="T126" i="133"/>
  <c r="K126" i="133"/>
  <c r="N125" i="133"/>
  <c r="K125" i="133"/>
  <c r="Q125" i="133" s="1"/>
  <c r="T124" i="133"/>
  <c r="K124" i="133"/>
  <c r="T123" i="133"/>
  <c r="N123" i="133"/>
  <c r="K123" i="133"/>
  <c r="T122" i="133"/>
  <c r="K122" i="133"/>
  <c r="N121" i="133"/>
  <c r="K121" i="133"/>
  <c r="K120" i="133"/>
  <c r="N119" i="133"/>
  <c r="K119" i="133"/>
  <c r="K118" i="133"/>
  <c r="T117" i="133"/>
  <c r="N117" i="133"/>
  <c r="K117" i="133"/>
  <c r="N116" i="133"/>
  <c r="K116" i="133"/>
  <c r="K115" i="133"/>
  <c r="N114" i="133"/>
  <c r="K114" i="133"/>
  <c r="T113" i="133"/>
  <c r="N113" i="133"/>
  <c r="K113" i="133"/>
  <c r="K112" i="133"/>
  <c r="K111" i="133"/>
  <c r="T110" i="133"/>
  <c r="K110" i="133"/>
  <c r="T109" i="133"/>
  <c r="N109" i="133"/>
  <c r="K109" i="133"/>
  <c r="T108" i="133"/>
  <c r="K108" i="133"/>
  <c r="N107" i="133"/>
  <c r="K107" i="133"/>
  <c r="T106" i="133"/>
  <c r="K106" i="133"/>
  <c r="T105" i="133"/>
  <c r="K105" i="133"/>
  <c r="K104" i="133"/>
  <c r="T103" i="133"/>
  <c r="K103" i="133"/>
  <c r="T102" i="133"/>
  <c r="N102" i="133"/>
  <c r="K102" i="133"/>
  <c r="T101" i="133"/>
  <c r="K101" i="133"/>
  <c r="N100" i="133"/>
  <c r="K100" i="133"/>
  <c r="T99" i="133"/>
  <c r="N99" i="133"/>
  <c r="Q99" i="133" s="1"/>
  <c r="R99" i="133" s="1"/>
  <c r="K99" i="133"/>
  <c r="T98" i="133"/>
  <c r="N98" i="133"/>
  <c r="K98" i="133"/>
  <c r="K97" i="133"/>
  <c r="K96" i="133"/>
  <c r="T95" i="133"/>
  <c r="N95" i="133"/>
  <c r="K95" i="133"/>
  <c r="T94" i="133"/>
  <c r="K94" i="133"/>
  <c r="N93" i="133"/>
  <c r="K93" i="133"/>
  <c r="T92" i="133"/>
  <c r="K92" i="133"/>
  <c r="T91" i="133"/>
  <c r="N91" i="133"/>
  <c r="K91" i="133"/>
  <c r="T90" i="133"/>
  <c r="K90" i="133"/>
  <c r="K89" i="133"/>
  <c r="K88" i="133"/>
  <c r="T87" i="133"/>
  <c r="N87" i="133"/>
  <c r="K87" i="133"/>
  <c r="T86" i="133"/>
  <c r="K86" i="133"/>
  <c r="T85" i="133"/>
  <c r="N85" i="133"/>
  <c r="K85" i="133"/>
  <c r="N84" i="133"/>
  <c r="K84" i="133"/>
  <c r="T83" i="133"/>
  <c r="N83" i="133"/>
  <c r="K83" i="133"/>
  <c r="K82" i="133"/>
  <c r="K81" i="133"/>
  <c r="K80" i="133"/>
  <c r="T79" i="133"/>
  <c r="K79" i="133"/>
  <c r="N78" i="133"/>
  <c r="Q78" i="133" s="1"/>
  <c r="R78" i="133" s="1"/>
  <c r="K78" i="133"/>
  <c r="T77" i="133"/>
  <c r="K77" i="133"/>
  <c r="T76" i="133"/>
  <c r="N76" i="133"/>
  <c r="K76" i="133"/>
  <c r="Q76" i="133" s="1"/>
  <c r="R76" i="133" s="1"/>
  <c r="T75" i="133"/>
  <c r="K75" i="133"/>
  <c r="N74" i="133"/>
  <c r="K74" i="133"/>
  <c r="K73" i="133"/>
  <c r="N72" i="133"/>
  <c r="K72" i="133"/>
  <c r="N71" i="133"/>
  <c r="Q71" i="133" s="1"/>
  <c r="K71" i="133"/>
  <c r="T70" i="133"/>
  <c r="K70" i="133"/>
  <c r="T69" i="133"/>
  <c r="N69" i="133"/>
  <c r="K69" i="133"/>
  <c r="T68" i="133"/>
  <c r="K68" i="133"/>
  <c r="Q68" i="133" s="1"/>
  <c r="N67" i="133"/>
  <c r="K67" i="133"/>
  <c r="T66" i="133"/>
  <c r="N66" i="133"/>
  <c r="K66" i="133"/>
  <c r="T65" i="133"/>
  <c r="K65" i="133"/>
  <c r="K64" i="133"/>
  <c r="N63" i="133"/>
  <c r="K63" i="133"/>
  <c r="T62" i="133"/>
  <c r="N62" i="133"/>
  <c r="K62" i="133"/>
  <c r="T61" i="133"/>
  <c r="N61" i="133"/>
  <c r="K61" i="133"/>
  <c r="T60" i="133"/>
  <c r="N60" i="133"/>
  <c r="K60" i="133"/>
  <c r="N59" i="133"/>
  <c r="Q59" i="133" s="1"/>
  <c r="R59" i="133" s="1"/>
  <c r="K59" i="133"/>
  <c r="T58" i="133"/>
  <c r="K58" i="133"/>
  <c r="N57" i="133"/>
  <c r="K57" i="133"/>
  <c r="K56" i="133"/>
  <c r="T55" i="133"/>
  <c r="K55" i="133"/>
  <c r="N54" i="133"/>
  <c r="K54" i="133"/>
  <c r="T53" i="133"/>
  <c r="K53" i="133"/>
  <c r="T52" i="133"/>
  <c r="N52" i="133"/>
  <c r="K52" i="133"/>
  <c r="Q52" i="133" s="1"/>
  <c r="R52" i="133" s="1"/>
  <c r="T51" i="133"/>
  <c r="K51" i="133"/>
  <c r="K50" i="133"/>
  <c r="T49" i="133"/>
  <c r="N49" i="133"/>
  <c r="K49" i="133"/>
  <c r="K48" i="133"/>
  <c r="T47" i="133"/>
  <c r="N47" i="133"/>
  <c r="K47" i="133"/>
  <c r="Z46" i="133"/>
  <c r="X46" i="133"/>
  <c r="T46" i="133"/>
  <c r="N46" i="133"/>
  <c r="Q46" i="133" s="1"/>
  <c r="K46" i="133"/>
  <c r="AH46" i="133" s="1"/>
  <c r="X45" i="133"/>
  <c r="N45" i="133"/>
  <c r="K45" i="133"/>
  <c r="T44" i="133"/>
  <c r="K44" i="133"/>
  <c r="N43" i="133"/>
  <c r="K43" i="133"/>
  <c r="T42" i="133"/>
  <c r="K42" i="133"/>
  <c r="T41" i="133"/>
  <c r="N41" i="133"/>
  <c r="K41" i="133"/>
  <c r="K40" i="133"/>
  <c r="N39" i="133"/>
  <c r="K39" i="133"/>
  <c r="T38" i="133"/>
  <c r="K38" i="133"/>
  <c r="X37" i="133"/>
  <c r="T37" i="133"/>
  <c r="N37" i="133"/>
  <c r="K37" i="133"/>
  <c r="AH37" i="133" s="1"/>
  <c r="N36" i="133"/>
  <c r="K36" i="133"/>
  <c r="K35" i="133"/>
  <c r="T34" i="133"/>
  <c r="N34" i="133"/>
  <c r="K34" i="133"/>
  <c r="AG33" i="133"/>
  <c r="AH33" i="133" s="1"/>
  <c r="Z33" i="133"/>
  <c r="T33" i="133"/>
  <c r="N33" i="133"/>
  <c r="K33" i="133"/>
  <c r="AG32" i="133"/>
  <c r="K32" i="133"/>
  <c r="Z32" i="133" s="1"/>
  <c r="Z31" i="133"/>
  <c r="K31" i="133"/>
  <c r="N30" i="133"/>
  <c r="K30" i="133"/>
  <c r="T29" i="133"/>
  <c r="K29" i="133"/>
  <c r="N28" i="133"/>
  <c r="Q28" i="133" s="1"/>
  <c r="K28" i="133"/>
  <c r="N27" i="133"/>
  <c r="Q27" i="133" s="1"/>
  <c r="K27" i="133"/>
  <c r="K26" i="133"/>
  <c r="T25" i="133"/>
  <c r="N25" i="133"/>
  <c r="K25" i="133"/>
  <c r="K24" i="133"/>
  <c r="T23" i="133"/>
  <c r="K23" i="133"/>
  <c r="T22" i="133"/>
  <c r="N22" i="133"/>
  <c r="Q22" i="133" s="1"/>
  <c r="R22" i="133" s="1"/>
  <c r="K22" i="133"/>
  <c r="Q84" i="133" l="1"/>
  <c r="R84" i="133" s="1"/>
  <c r="N73" i="133"/>
  <c r="Q130" i="133"/>
  <c r="N89" i="133"/>
  <c r="N104" i="133"/>
  <c r="N111" i="133"/>
  <c r="Q43" i="133"/>
  <c r="R43" i="133" s="1"/>
  <c r="Q61" i="133"/>
  <c r="Q109" i="133"/>
  <c r="T40" i="133"/>
  <c r="T48" i="133"/>
  <c r="Q66" i="133"/>
  <c r="R66" i="133" s="1"/>
  <c r="Q105" i="133"/>
  <c r="T112" i="133"/>
  <c r="Q67" i="133"/>
  <c r="R67" i="133" s="1"/>
  <c r="Q107" i="133"/>
  <c r="R107" i="133" s="1"/>
  <c r="T32" i="133"/>
  <c r="N56" i="133"/>
  <c r="Q56" i="133" s="1"/>
  <c r="R56" i="133" s="1"/>
  <c r="N80" i="133"/>
  <c r="N120" i="133"/>
  <c r="Q51" i="133"/>
  <c r="R51" i="133" s="1"/>
  <c r="Q34" i="133"/>
  <c r="Q45" i="133"/>
  <c r="R45" i="133" s="1"/>
  <c r="N88" i="133"/>
  <c r="Q88" i="133" s="1"/>
  <c r="Q44" i="133"/>
  <c r="R44" i="133" s="1"/>
  <c r="Z135" i="133"/>
  <c r="Z136" i="133" s="1"/>
  <c r="Q57" i="133"/>
  <c r="T128" i="133"/>
  <c r="Q126" i="133"/>
  <c r="Q30" i="133"/>
  <c r="R30" i="133" s="1"/>
  <c r="N64" i="133"/>
  <c r="T96" i="133"/>
  <c r="Q63" i="133"/>
  <c r="Q95" i="133"/>
  <c r="Q94" i="133"/>
  <c r="R94" i="133" s="1"/>
  <c r="AH45" i="133"/>
  <c r="Q24" i="133"/>
  <c r="R24" i="133" s="1"/>
  <c r="Q72" i="133"/>
  <c r="Q80" i="133"/>
  <c r="R80" i="133" s="1"/>
  <c r="Q120" i="133"/>
  <c r="Q23" i="133"/>
  <c r="R23" i="133" s="1"/>
  <c r="Q55" i="133"/>
  <c r="Q79" i="133"/>
  <c r="Z28" i="134"/>
  <c r="AA28" i="134" s="1"/>
  <c r="Z34" i="134"/>
  <c r="AA34" i="134" s="1"/>
  <c r="Z26" i="134"/>
  <c r="AA26" i="134" s="1"/>
  <c r="AA38" i="134"/>
  <c r="T18" i="133"/>
  <c r="N134" i="133"/>
  <c r="Q134" i="133" s="1"/>
  <c r="R134" i="133" s="1"/>
  <c r="Q133" i="133"/>
  <c r="R133" i="133" s="1"/>
  <c r="N132" i="133"/>
  <c r="Q132" i="133" s="1"/>
  <c r="R132" i="133" s="1"/>
  <c r="Q131" i="133"/>
  <c r="R131" i="133" s="1"/>
  <c r="Q128" i="133"/>
  <c r="R128" i="133" s="1"/>
  <c r="Q124" i="133"/>
  <c r="R124" i="133" s="1"/>
  <c r="Q123" i="133"/>
  <c r="R123" i="133" s="1"/>
  <c r="Q121" i="133"/>
  <c r="R121" i="133" s="1"/>
  <c r="Q119" i="133"/>
  <c r="N118" i="133"/>
  <c r="Q118" i="133" s="1"/>
  <c r="R118" i="133" s="1"/>
  <c r="N115" i="133"/>
  <c r="Q115" i="133" s="1"/>
  <c r="R115" i="133" s="1"/>
  <c r="Q113" i="133"/>
  <c r="R113" i="133" s="1"/>
  <c r="Q112" i="133"/>
  <c r="R112" i="133" s="1"/>
  <c r="Q111" i="133"/>
  <c r="Q106" i="133"/>
  <c r="R106" i="133" s="1"/>
  <c r="Q104" i="133"/>
  <c r="R104" i="133" s="1"/>
  <c r="Q101" i="133"/>
  <c r="N97" i="133"/>
  <c r="Q97" i="133" s="1"/>
  <c r="R97" i="133" s="1"/>
  <c r="Q96" i="133"/>
  <c r="R96" i="133" s="1"/>
  <c r="Q91" i="133"/>
  <c r="R91" i="133" s="1"/>
  <c r="Q90" i="133"/>
  <c r="R90" i="133" s="1"/>
  <c r="Q89" i="133"/>
  <c r="R89" i="133" s="1"/>
  <c r="Q86" i="133"/>
  <c r="R86" i="133" s="1"/>
  <c r="Q83" i="133"/>
  <c r="R83" i="133" s="1"/>
  <c r="N82" i="133"/>
  <c r="N81" i="133"/>
  <c r="Q81" i="133" s="1"/>
  <c r="R81" i="133" s="1"/>
  <c r="Q77" i="133"/>
  <c r="R77" i="133" s="1"/>
  <c r="Q75" i="133"/>
  <c r="R75" i="133" s="1"/>
  <c r="Q73" i="133"/>
  <c r="R73" i="133" s="1"/>
  <c r="Q70" i="133"/>
  <c r="R70" i="133" s="1"/>
  <c r="R68" i="133"/>
  <c r="Q65" i="133"/>
  <c r="R65" i="133" s="1"/>
  <c r="Q64" i="133"/>
  <c r="R64" i="133" s="1"/>
  <c r="Q60" i="133"/>
  <c r="R60" i="133" s="1"/>
  <c r="Q58" i="133"/>
  <c r="R58" i="133" s="1"/>
  <c r="N50" i="133"/>
  <c r="Q50" i="133" s="1"/>
  <c r="R50" i="133" s="1"/>
  <c r="Q49" i="133"/>
  <c r="R49" i="133" s="1"/>
  <c r="Q42" i="133"/>
  <c r="R42" i="133" s="1"/>
  <c r="Q40" i="133"/>
  <c r="Q37" i="133"/>
  <c r="R37" i="133" s="1"/>
  <c r="Q36" i="133"/>
  <c r="R36" i="133" s="1"/>
  <c r="N35" i="133"/>
  <c r="Q35" i="133" s="1"/>
  <c r="Q33" i="133"/>
  <c r="R33" i="133" s="1"/>
  <c r="N31" i="133"/>
  <c r="Q31" i="133" s="1"/>
  <c r="Q29" i="133"/>
  <c r="R29" i="133" s="1"/>
  <c r="R27" i="133"/>
  <c r="O135" i="133"/>
  <c r="Q26" i="133"/>
  <c r="R26" i="133" s="1"/>
  <c r="T24" i="133"/>
  <c r="R130" i="133"/>
  <c r="Q127" i="133"/>
  <c r="R127" i="133" s="1"/>
  <c r="Q122" i="133"/>
  <c r="R122" i="133" s="1"/>
  <c r="R120" i="133"/>
  <c r="R119" i="133"/>
  <c r="Q117" i="133"/>
  <c r="R117" i="133" s="1"/>
  <c r="Q116" i="133"/>
  <c r="R116" i="133" s="1"/>
  <c r="Q114" i="133"/>
  <c r="R114" i="133" s="1"/>
  <c r="R111" i="133"/>
  <c r="Q110" i="133"/>
  <c r="R110" i="133" s="1"/>
  <c r="Q108" i="133"/>
  <c r="R108" i="133" s="1"/>
  <c r="R105" i="133"/>
  <c r="Q102" i="133"/>
  <c r="R102" i="133" s="1"/>
  <c r="Q100" i="133"/>
  <c r="R100" i="133" s="1"/>
  <c r="Q98" i="133"/>
  <c r="R98" i="133" s="1"/>
  <c r="R95" i="133"/>
  <c r="Q92" i="133"/>
  <c r="R92" i="133" s="1"/>
  <c r="Q85" i="133"/>
  <c r="R85" i="133" s="1"/>
  <c r="Q82" i="133"/>
  <c r="R82" i="133" s="1"/>
  <c r="R79" i="133"/>
  <c r="Q74" i="133"/>
  <c r="R74" i="133" s="1"/>
  <c r="R72" i="133"/>
  <c r="R71" i="133"/>
  <c r="R63" i="133"/>
  <c r="Q62" i="133"/>
  <c r="R62" i="133" s="1"/>
  <c r="R57" i="133"/>
  <c r="R55" i="133"/>
  <c r="Q54" i="133"/>
  <c r="R54" i="133" s="1"/>
  <c r="Q53" i="133"/>
  <c r="R53" i="133" s="1"/>
  <c r="Q48" i="133"/>
  <c r="R48" i="133" s="1"/>
  <c r="R46" i="133"/>
  <c r="R40" i="133"/>
  <c r="Q39" i="133"/>
  <c r="R39" i="133" s="1"/>
  <c r="R34" i="133"/>
  <c r="R28" i="133"/>
  <c r="Q25" i="133"/>
  <c r="R25" i="133" s="1"/>
  <c r="R101" i="133"/>
  <c r="AH135" i="133"/>
  <c r="AH136" i="133" s="1"/>
  <c r="AK17" i="133" s="1"/>
  <c r="R61" i="133"/>
  <c r="R109" i="133"/>
  <c r="Q41" i="133"/>
  <c r="R41" i="133" s="1"/>
  <c r="R35" i="133"/>
  <c r="Q38" i="133"/>
  <c r="R38" i="133" s="1"/>
  <c r="Q69" i="133"/>
  <c r="R69" i="133" s="1"/>
  <c r="Q93" i="133"/>
  <c r="R93" i="133" s="1"/>
  <c r="Q47" i="133"/>
  <c r="R47" i="133" s="1"/>
  <c r="Q87" i="133"/>
  <c r="R87" i="133" s="1"/>
  <c r="Q103" i="133"/>
  <c r="R103" i="133" s="1"/>
  <c r="Q129" i="133"/>
  <c r="R129" i="133" s="1"/>
  <c r="K22" i="132"/>
  <c r="K23" i="132"/>
  <c r="Q23" i="132" s="1"/>
  <c r="K24" i="132"/>
  <c r="K25" i="132"/>
  <c r="Q25" i="132" s="1"/>
  <c r="K26" i="132"/>
  <c r="Q26" i="132" s="1"/>
  <c r="K27" i="132"/>
  <c r="Q27" i="132" s="1"/>
  <c r="K28" i="132"/>
  <c r="Q28" i="132" s="1"/>
  <c r="K29" i="132"/>
  <c r="Q29" i="132" s="1"/>
  <c r="K30" i="132"/>
  <c r="Q30" i="132" s="1"/>
  <c r="K31" i="132"/>
  <c r="K32" i="132"/>
  <c r="K34" i="132"/>
  <c r="Q34" i="132" s="1"/>
  <c r="K36" i="132"/>
  <c r="K38" i="132"/>
  <c r="K40" i="132"/>
  <c r="Q40" i="132" s="1"/>
  <c r="K42" i="132"/>
  <c r="K44" i="132"/>
  <c r="Q44" i="132" s="1"/>
  <c r="K46" i="132"/>
  <c r="Q46" i="132" s="1"/>
  <c r="K48" i="132"/>
  <c r="K50" i="132"/>
  <c r="K52" i="132"/>
  <c r="Q52" i="132" s="1"/>
  <c r="K54" i="132"/>
  <c r="Q54" i="132" s="1"/>
  <c r="K56" i="132"/>
  <c r="Q56" i="132" s="1"/>
  <c r="K58" i="132"/>
  <c r="Q58" i="132" s="1"/>
  <c r="K60" i="132"/>
  <c r="K62" i="132"/>
  <c r="Q62" i="132" s="1"/>
  <c r="K64" i="132"/>
  <c r="Q64" i="132" s="1"/>
  <c r="K66" i="132"/>
  <c r="K67" i="132"/>
  <c r="Q67" i="132" s="1"/>
  <c r="K68" i="132"/>
  <c r="Q68" i="132" s="1"/>
  <c r="K69" i="132"/>
  <c r="K70" i="132"/>
  <c r="Q70" i="132" s="1"/>
  <c r="K71" i="132"/>
  <c r="Q71" i="132" s="1"/>
  <c r="K72" i="132"/>
  <c r="Q72" i="132" s="1"/>
  <c r="K73" i="132"/>
  <c r="K74" i="132"/>
  <c r="Q74" i="132" s="1"/>
  <c r="K75" i="132"/>
  <c r="Q75" i="132" s="1"/>
  <c r="K76" i="132"/>
  <c r="Q76" i="132" s="1"/>
  <c r="K77" i="132"/>
  <c r="Q77" i="132" s="1"/>
  <c r="K78" i="132"/>
  <c r="K79" i="132"/>
  <c r="Q79" i="132" s="1"/>
  <c r="K80" i="132"/>
  <c r="Q80" i="132" s="1"/>
  <c r="K81" i="132"/>
  <c r="K82" i="132"/>
  <c r="Q82" i="132" s="1"/>
  <c r="K83" i="132"/>
  <c r="Q83" i="132" s="1"/>
  <c r="K84" i="132"/>
  <c r="Q84" i="132" s="1"/>
  <c r="K85" i="132"/>
  <c r="Q85" i="132" s="1"/>
  <c r="K86" i="132"/>
  <c r="Q86" i="132" s="1"/>
  <c r="K87" i="132"/>
  <c r="K88" i="132"/>
  <c r="Q88" i="132" s="1"/>
  <c r="K89" i="132"/>
  <c r="Q89" i="132" s="1"/>
  <c r="K90" i="132"/>
  <c r="Q90" i="132" s="1"/>
  <c r="K91" i="132"/>
  <c r="Q91" i="132" s="1"/>
  <c r="K92" i="132"/>
  <c r="Q92" i="132" s="1"/>
  <c r="K93" i="132"/>
  <c r="K94" i="132"/>
  <c r="K95" i="132"/>
  <c r="Q95" i="132" s="1"/>
  <c r="K96" i="132"/>
  <c r="Q96" i="132" s="1"/>
  <c r="K97" i="132"/>
  <c r="Q97" i="132" s="1"/>
  <c r="K98" i="132"/>
  <c r="Q98" i="132" s="1"/>
  <c r="K99" i="132"/>
  <c r="Q99" i="132" s="1"/>
  <c r="K100" i="132"/>
  <c r="Q100" i="132" s="1"/>
  <c r="K101" i="132"/>
  <c r="Q101" i="132" s="1"/>
  <c r="K102" i="132"/>
  <c r="Q102" i="132" s="1"/>
  <c r="K103" i="132"/>
  <c r="K104" i="132"/>
  <c r="Q104" i="132" s="1"/>
  <c r="K105" i="132"/>
  <c r="K106" i="132"/>
  <c r="K107" i="132"/>
  <c r="Q107" i="132" s="1"/>
  <c r="K108" i="132"/>
  <c r="Q108" i="132" s="1"/>
  <c r="K109" i="132"/>
  <c r="Q109" i="132" s="1"/>
  <c r="K110" i="132"/>
  <c r="Q110" i="132" s="1"/>
  <c r="K111" i="132"/>
  <c r="Q111" i="132" s="1"/>
  <c r="K112" i="132"/>
  <c r="Q112" i="132" s="1"/>
  <c r="K113" i="132"/>
  <c r="Q113" i="132" s="1"/>
  <c r="K114" i="132"/>
  <c r="Q114" i="132" s="1"/>
  <c r="K115" i="132"/>
  <c r="Q115" i="132" s="1"/>
  <c r="K116" i="132"/>
  <c r="Q116" i="132" s="1"/>
  <c r="K117" i="132"/>
  <c r="Q117" i="132" s="1"/>
  <c r="K118" i="132"/>
  <c r="Q118" i="132" s="1"/>
  <c r="K119" i="132"/>
  <c r="Q119" i="132" s="1"/>
  <c r="K120" i="132"/>
  <c r="Q120" i="132" s="1"/>
  <c r="K121" i="132"/>
  <c r="Q121" i="132" s="1"/>
  <c r="K122" i="132"/>
  <c r="Q122" i="132" s="1"/>
  <c r="K123" i="132"/>
  <c r="Q123" i="132" s="1"/>
  <c r="K124" i="132"/>
  <c r="Q124" i="132" s="1"/>
  <c r="K125" i="132"/>
  <c r="Q125" i="132" s="1"/>
  <c r="K126" i="132"/>
  <c r="Q126" i="132" s="1"/>
  <c r="K127" i="132"/>
  <c r="Q127" i="132" s="1"/>
  <c r="K128" i="132"/>
  <c r="Q128" i="132" s="1"/>
  <c r="K129" i="132"/>
  <c r="K130" i="132"/>
  <c r="Q130" i="132" s="1"/>
  <c r="K131" i="132"/>
  <c r="Q131" i="132" s="1"/>
  <c r="K132" i="132"/>
  <c r="Q132" i="132" s="1"/>
  <c r="K133" i="132"/>
  <c r="Q133" i="132" s="1"/>
  <c r="K134" i="132"/>
  <c r="R88" i="133" l="1"/>
  <c r="O136" i="133"/>
  <c r="T136" i="133" s="1"/>
  <c r="T135" i="133"/>
  <c r="AT17" i="134"/>
  <c r="Z25" i="134"/>
  <c r="Z33" i="134"/>
  <c r="AA33" i="134" s="1"/>
  <c r="Z30" i="134"/>
  <c r="AA30" i="134" s="1"/>
  <c r="AA37" i="134"/>
  <c r="Z35" i="134"/>
  <c r="AA35" i="134" s="1"/>
  <c r="Z29" i="134"/>
  <c r="AA29" i="134" s="1"/>
  <c r="Z27" i="134"/>
  <c r="AA27" i="134" s="1"/>
  <c r="Q135" i="133"/>
  <c r="S135" i="132"/>
  <c r="T18" i="132" s="1"/>
  <c r="T28" i="132"/>
  <c r="T29" i="132"/>
  <c r="T30" i="132"/>
  <c r="T31" i="132"/>
  <c r="T32" i="132"/>
  <c r="T33" i="132"/>
  <c r="T34" i="132"/>
  <c r="T35" i="132"/>
  <c r="T36" i="132"/>
  <c r="T37" i="132"/>
  <c r="T38" i="132"/>
  <c r="T39" i="132"/>
  <c r="T40" i="132"/>
  <c r="T41" i="132"/>
  <c r="T42" i="132"/>
  <c r="T43" i="132"/>
  <c r="T44" i="132"/>
  <c r="T45" i="132"/>
  <c r="T46" i="132"/>
  <c r="T47" i="132"/>
  <c r="T48" i="132"/>
  <c r="T49" i="132"/>
  <c r="T50" i="132"/>
  <c r="T51" i="132"/>
  <c r="T52" i="132"/>
  <c r="T53" i="132"/>
  <c r="T54" i="132"/>
  <c r="T55" i="132"/>
  <c r="T56" i="132"/>
  <c r="T57" i="132"/>
  <c r="T58" i="132"/>
  <c r="T59" i="132"/>
  <c r="T60" i="132"/>
  <c r="T61" i="132"/>
  <c r="T62" i="132"/>
  <c r="T63" i="132"/>
  <c r="T64" i="132"/>
  <c r="T65" i="132"/>
  <c r="T66" i="132"/>
  <c r="T67" i="132"/>
  <c r="T68" i="132"/>
  <c r="T69" i="132"/>
  <c r="T70" i="132"/>
  <c r="T71" i="132"/>
  <c r="T72" i="132"/>
  <c r="T73" i="132"/>
  <c r="T74" i="132"/>
  <c r="T75" i="132"/>
  <c r="T76" i="132"/>
  <c r="T77" i="132"/>
  <c r="T78" i="132"/>
  <c r="T79" i="132"/>
  <c r="T80" i="132"/>
  <c r="T81" i="132"/>
  <c r="T82" i="132"/>
  <c r="T83" i="132"/>
  <c r="T84" i="132"/>
  <c r="T85" i="132"/>
  <c r="T86" i="132"/>
  <c r="T87" i="132"/>
  <c r="T88" i="132"/>
  <c r="T89" i="132"/>
  <c r="T90" i="132"/>
  <c r="T91" i="132"/>
  <c r="T92" i="132"/>
  <c r="T93" i="132"/>
  <c r="T94" i="132"/>
  <c r="T95" i="132"/>
  <c r="T96" i="132"/>
  <c r="T97" i="132"/>
  <c r="T98" i="132"/>
  <c r="T99" i="132"/>
  <c r="T100" i="132"/>
  <c r="T101" i="132"/>
  <c r="T102" i="132"/>
  <c r="T103" i="132"/>
  <c r="T104" i="132"/>
  <c r="T105" i="132"/>
  <c r="T106" i="132"/>
  <c r="T107" i="132"/>
  <c r="T108" i="132"/>
  <c r="T109" i="132"/>
  <c r="T110" i="132"/>
  <c r="T111" i="132"/>
  <c r="T112" i="132"/>
  <c r="T113" i="132"/>
  <c r="T114" i="132"/>
  <c r="T115" i="132"/>
  <c r="T116" i="132"/>
  <c r="T117" i="132"/>
  <c r="T118" i="132"/>
  <c r="T119" i="132"/>
  <c r="T120" i="132"/>
  <c r="T121" i="132"/>
  <c r="T122" i="132"/>
  <c r="T123" i="132"/>
  <c r="T124" i="132"/>
  <c r="T125" i="132"/>
  <c r="T126" i="132"/>
  <c r="T127" i="132"/>
  <c r="T128" i="132"/>
  <c r="T129" i="132"/>
  <c r="T130" i="132"/>
  <c r="T131" i="132"/>
  <c r="T132" i="132"/>
  <c r="T133" i="132"/>
  <c r="T134" i="132"/>
  <c r="T23" i="132"/>
  <c r="T24" i="132"/>
  <c r="T25" i="132"/>
  <c r="T26" i="132"/>
  <c r="T27" i="132"/>
  <c r="T22" i="132"/>
  <c r="N136" i="132"/>
  <c r="N38" i="132"/>
  <c r="N39" i="132"/>
  <c r="N40" i="132"/>
  <c r="R40" i="132" s="1"/>
  <c r="N41" i="132"/>
  <c r="N42" i="132"/>
  <c r="N43" i="132"/>
  <c r="N44" i="132"/>
  <c r="R44" i="132" s="1"/>
  <c r="N45" i="132"/>
  <c r="N46" i="132"/>
  <c r="R46" i="132" s="1"/>
  <c r="N47" i="132"/>
  <c r="N48" i="132"/>
  <c r="N49" i="132"/>
  <c r="N50" i="132"/>
  <c r="N51" i="132"/>
  <c r="N52" i="132"/>
  <c r="R52" i="132" s="1"/>
  <c r="N53" i="132"/>
  <c r="N54" i="132"/>
  <c r="R54" i="132" s="1"/>
  <c r="N55" i="132"/>
  <c r="N56" i="132"/>
  <c r="R56" i="132" s="1"/>
  <c r="N57" i="132"/>
  <c r="N58" i="132"/>
  <c r="R58" i="132" s="1"/>
  <c r="N59" i="132"/>
  <c r="N60" i="132"/>
  <c r="N61" i="132"/>
  <c r="N62" i="132"/>
  <c r="R62" i="132" s="1"/>
  <c r="N63" i="132"/>
  <c r="N64" i="132"/>
  <c r="R64" i="132" s="1"/>
  <c r="N65" i="132"/>
  <c r="N66" i="132"/>
  <c r="N67" i="132"/>
  <c r="R67" i="132" s="1"/>
  <c r="N68" i="132"/>
  <c r="R68" i="132" s="1"/>
  <c r="N69" i="132"/>
  <c r="N70" i="132"/>
  <c r="R70" i="132" s="1"/>
  <c r="N71" i="132"/>
  <c r="R71" i="132" s="1"/>
  <c r="N72" i="132"/>
  <c r="R72" i="132" s="1"/>
  <c r="N73" i="132"/>
  <c r="N74" i="132"/>
  <c r="R74" i="132" s="1"/>
  <c r="N75" i="132"/>
  <c r="R75" i="132" s="1"/>
  <c r="N76" i="132"/>
  <c r="R76" i="132" s="1"/>
  <c r="N77" i="132"/>
  <c r="R77" i="132" s="1"/>
  <c r="N78" i="132"/>
  <c r="N79" i="132"/>
  <c r="R79" i="132" s="1"/>
  <c r="N80" i="132"/>
  <c r="R80" i="132" s="1"/>
  <c r="N81" i="132"/>
  <c r="N82" i="132"/>
  <c r="R82" i="132" s="1"/>
  <c r="N83" i="132"/>
  <c r="R83" i="132" s="1"/>
  <c r="N84" i="132"/>
  <c r="R84" i="132" s="1"/>
  <c r="N85" i="132"/>
  <c r="R85" i="132" s="1"/>
  <c r="N86" i="132"/>
  <c r="R86" i="132" s="1"/>
  <c r="N87" i="132"/>
  <c r="N88" i="132"/>
  <c r="R88" i="132" s="1"/>
  <c r="N89" i="132"/>
  <c r="R89" i="132" s="1"/>
  <c r="N90" i="132"/>
  <c r="R90" i="132" s="1"/>
  <c r="N91" i="132"/>
  <c r="R91" i="132" s="1"/>
  <c r="N92" i="132"/>
  <c r="R92" i="132" s="1"/>
  <c r="N93" i="132"/>
  <c r="N94" i="132"/>
  <c r="N95" i="132"/>
  <c r="R95" i="132" s="1"/>
  <c r="N96" i="132"/>
  <c r="R96" i="132" s="1"/>
  <c r="N97" i="132"/>
  <c r="R97" i="132" s="1"/>
  <c r="N98" i="132"/>
  <c r="R98" i="132" s="1"/>
  <c r="N99" i="132"/>
  <c r="R99" i="132" s="1"/>
  <c r="N100" i="132"/>
  <c r="R100" i="132" s="1"/>
  <c r="N101" i="132"/>
  <c r="R101" i="132" s="1"/>
  <c r="N102" i="132"/>
  <c r="R102" i="132" s="1"/>
  <c r="N103" i="132"/>
  <c r="N104" i="132"/>
  <c r="R104" i="132" s="1"/>
  <c r="N105" i="132"/>
  <c r="N106" i="132"/>
  <c r="N107" i="132"/>
  <c r="R107" i="132" s="1"/>
  <c r="N108" i="132"/>
  <c r="R108" i="132" s="1"/>
  <c r="N109" i="132"/>
  <c r="R109" i="132" s="1"/>
  <c r="N110" i="132"/>
  <c r="R110" i="132" s="1"/>
  <c r="N111" i="132"/>
  <c r="R111" i="132" s="1"/>
  <c r="N112" i="132"/>
  <c r="R112" i="132" s="1"/>
  <c r="N113" i="132"/>
  <c r="R113" i="132" s="1"/>
  <c r="N114" i="132"/>
  <c r="R114" i="132" s="1"/>
  <c r="N115" i="132"/>
  <c r="R115" i="132" s="1"/>
  <c r="N116" i="132"/>
  <c r="R116" i="132" s="1"/>
  <c r="N117" i="132"/>
  <c r="R117" i="132" s="1"/>
  <c r="N118" i="132"/>
  <c r="R118" i="132" s="1"/>
  <c r="N119" i="132"/>
  <c r="R119" i="132" s="1"/>
  <c r="N120" i="132"/>
  <c r="R120" i="132" s="1"/>
  <c r="N121" i="132"/>
  <c r="R121" i="132" s="1"/>
  <c r="N122" i="132"/>
  <c r="R122" i="132" s="1"/>
  <c r="N123" i="132"/>
  <c r="R123" i="132" s="1"/>
  <c r="N124" i="132"/>
  <c r="R124" i="132" s="1"/>
  <c r="N125" i="132"/>
  <c r="N126" i="132"/>
  <c r="N127" i="132"/>
  <c r="R127" i="132" s="1"/>
  <c r="N128" i="132"/>
  <c r="R128" i="132" s="1"/>
  <c r="N129" i="132"/>
  <c r="N130" i="132"/>
  <c r="R130" i="132" s="1"/>
  <c r="N131" i="132"/>
  <c r="R131" i="132" s="1"/>
  <c r="N132" i="132"/>
  <c r="R132" i="132" s="1"/>
  <c r="N133" i="132"/>
  <c r="R133" i="132" s="1"/>
  <c r="N134" i="132"/>
  <c r="N25" i="132"/>
  <c r="R25" i="132" s="1"/>
  <c r="N26" i="132"/>
  <c r="R26" i="132" s="1"/>
  <c r="N27" i="132"/>
  <c r="R27" i="132" s="1"/>
  <c r="N28" i="132"/>
  <c r="R28" i="132" s="1"/>
  <c r="N29" i="132"/>
  <c r="R29" i="132" s="1"/>
  <c r="N30" i="132"/>
  <c r="R30" i="132" s="1"/>
  <c r="N31" i="132"/>
  <c r="Q31" i="132" s="1"/>
  <c r="N32" i="132"/>
  <c r="N33" i="132"/>
  <c r="N34" i="132"/>
  <c r="R34" i="132" s="1"/>
  <c r="N35" i="132"/>
  <c r="N36" i="132"/>
  <c r="N37" i="132"/>
  <c r="N23" i="132"/>
  <c r="R23" i="132" s="1"/>
  <c r="N24" i="132"/>
  <c r="N22" i="132"/>
  <c r="O135" i="132"/>
  <c r="O136" i="132" s="1"/>
  <c r="W135" i="132"/>
  <c r="W136" i="132" s="1"/>
  <c r="V135" i="132"/>
  <c r="V136" i="132" s="1"/>
  <c r="L135" i="132"/>
  <c r="L136" i="132" s="1"/>
  <c r="I135" i="132"/>
  <c r="I136" i="132" s="1"/>
  <c r="H135" i="132"/>
  <c r="H136" i="132" s="1"/>
  <c r="G135" i="132"/>
  <c r="G136" i="132" s="1"/>
  <c r="F135" i="132"/>
  <c r="F136" i="132" s="1"/>
  <c r="E135" i="132"/>
  <c r="K65" i="132"/>
  <c r="K63" i="132"/>
  <c r="Q63" i="132" s="1"/>
  <c r="K61" i="132"/>
  <c r="Q61" i="132" s="1"/>
  <c r="K59" i="132"/>
  <c r="K57" i="132"/>
  <c r="Q57" i="132" s="1"/>
  <c r="K55" i="132"/>
  <c r="Q55" i="132" s="1"/>
  <c r="K53" i="132"/>
  <c r="Q53" i="132" s="1"/>
  <c r="K51" i="132"/>
  <c r="Q51" i="132" s="1"/>
  <c r="K49" i="132"/>
  <c r="K47" i="132"/>
  <c r="AH46" i="132"/>
  <c r="X46" i="132"/>
  <c r="Z46" i="132" s="1"/>
  <c r="X45" i="132"/>
  <c r="K45" i="132"/>
  <c r="K43" i="132"/>
  <c r="Q43" i="132" s="1"/>
  <c r="K41" i="132"/>
  <c r="K39" i="132"/>
  <c r="Q39" i="132" s="1"/>
  <c r="X37" i="132"/>
  <c r="K37" i="132"/>
  <c r="AH37" i="132" s="1"/>
  <c r="K35" i="132"/>
  <c r="AG33" i="132"/>
  <c r="Z33" i="132"/>
  <c r="K33" i="132"/>
  <c r="Q33" i="132" s="1"/>
  <c r="AG32" i="132"/>
  <c r="Z32" i="132"/>
  <c r="Z31" i="132"/>
  <c r="K29" i="125"/>
  <c r="K30" i="125"/>
  <c r="K31" i="125"/>
  <c r="K32" i="125"/>
  <c r="K33" i="125"/>
  <c r="K34" i="125"/>
  <c r="K35" i="125"/>
  <c r="K36" i="125"/>
  <c r="K37" i="125"/>
  <c r="K38" i="125"/>
  <c r="K39" i="125"/>
  <c r="K40" i="125"/>
  <c r="K41" i="125"/>
  <c r="K42" i="125"/>
  <c r="K43" i="125"/>
  <c r="K44" i="125"/>
  <c r="K45" i="125"/>
  <c r="K46" i="125"/>
  <c r="K47" i="125"/>
  <c r="K48" i="125"/>
  <c r="K49" i="125"/>
  <c r="K50" i="125"/>
  <c r="K51" i="125"/>
  <c r="K52" i="125"/>
  <c r="K53" i="125"/>
  <c r="K54" i="125"/>
  <c r="K55" i="125"/>
  <c r="K56" i="125"/>
  <c r="K57" i="125"/>
  <c r="K58" i="125"/>
  <c r="K59" i="125"/>
  <c r="K60" i="125"/>
  <c r="K61" i="125"/>
  <c r="K62" i="125"/>
  <c r="K63" i="125"/>
  <c r="K64" i="125"/>
  <c r="K65" i="125"/>
  <c r="K66" i="125"/>
  <c r="K67" i="125"/>
  <c r="K68" i="125"/>
  <c r="K69" i="125"/>
  <c r="K70" i="125"/>
  <c r="K71" i="125"/>
  <c r="K72" i="125"/>
  <c r="K73" i="125"/>
  <c r="K74" i="125"/>
  <c r="K75" i="125"/>
  <c r="K76" i="125"/>
  <c r="K77" i="125"/>
  <c r="K78" i="125"/>
  <c r="K79" i="125"/>
  <c r="K80" i="125"/>
  <c r="K81" i="125"/>
  <c r="K82" i="125"/>
  <c r="K83" i="125"/>
  <c r="K84" i="125"/>
  <c r="K85" i="125"/>
  <c r="K86" i="125"/>
  <c r="K87" i="125"/>
  <c r="K88" i="125"/>
  <c r="K89" i="125"/>
  <c r="K90" i="125"/>
  <c r="K91" i="125"/>
  <c r="K92" i="125"/>
  <c r="K93" i="125"/>
  <c r="K94" i="125"/>
  <c r="K95" i="125"/>
  <c r="K96" i="125"/>
  <c r="K97" i="125"/>
  <c r="K98" i="125"/>
  <c r="K99" i="125"/>
  <c r="K100" i="125"/>
  <c r="K101" i="125"/>
  <c r="K102" i="125"/>
  <c r="K103" i="125"/>
  <c r="K104" i="125"/>
  <c r="K105" i="125"/>
  <c r="K106" i="125"/>
  <c r="K107" i="125"/>
  <c r="K108" i="125"/>
  <c r="K109" i="125"/>
  <c r="K110" i="125"/>
  <c r="K111" i="125"/>
  <c r="K112" i="125"/>
  <c r="K113" i="125"/>
  <c r="K114" i="125"/>
  <c r="K115" i="125"/>
  <c r="K116" i="125"/>
  <c r="K117" i="125"/>
  <c r="K118" i="125"/>
  <c r="K119" i="125"/>
  <c r="K120" i="125"/>
  <c r="K121" i="125"/>
  <c r="K122" i="125"/>
  <c r="K123" i="125"/>
  <c r="K124" i="125"/>
  <c r="K125" i="125"/>
  <c r="K126" i="125"/>
  <c r="K127" i="125"/>
  <c r="K128" i="125"/>
  <c r="K129" i="125"/>
  <c r="K130" i="125"/>
  <c r="K131" i="125"/>
  <c r="K132" i="125"/>
  <c r="K21" i="125"/>
  <c r="K22" i="125"/>
  <c r="K23" i="125"/>
  <c r="K24" i="125"/>
  <c r="K25" i="125"/>
  <c r="K26" i="125"/>
  <c r="K27" i="125"/>
  <c r="K28" i="125"/>
  <c r="K20" i="125"/>
  <c r="L133" i="125"/>
  <c r="AA25" i="134" l="1"/>
  <c r="Z164" i="134"/>
  <c r="AA164" i="134" s="1"/>
  <c r="Q136" i="133"/>
  <c r="R135" i="133"/>
  <c r="R136" i="133" s="1"/>
  <c r="Q35" i="132"/>
  <c r="R35" i="132" s="1"/>
  <c r="Q129" i="132"/>
  <c r="R129" i="132"/>
  <c r="Q105" i="132"/>
  <c r="R105" i="132" s="1"/>
  <c r="Q81" i="132"/>
  <c r="R81" i="132" s="1"/>
  <c r="Q73" i="132"/>
  <c r="R73" i="132" s="1"/>
  <c r="Q65" i="132"/>
  <c r="R65" i="132" s="1"/>
  <c r="R57" i="132"/>
  <c r="Q49" i="132"/>
  <c r="R49" i="132" s="1"/>
  <c r="Q41" i="132"/>
  <c r="R41" i="132" s="1"/>
  <c r="Q48" i="132"/>
  <c r="R48" i="132" s="1"/>
  <c r="R33" i="132"/>
  <c r="Q103" i="132"/>
  <c r="R103" i="132" s="1"/>
  <c r="Q87" i="132"/>
  <c r="R87" i="132" s="1"/>
  <c r="R63" i="132"/>
  <c r="R55" i="132"/>
  <c r="Q47" i="132"/>
  <c r="R47" i="132" s="1"/>
  <c r="R39" i="132"/>
  <c r="T135" i="132"/>
  <c r="T136" i="132" s="1"/>
  <c r="AH33" i="132"/>
  <c r="AH45" i="132"/>
  <c r="Q45" i="132"/>
  <c r="R45" i="132" s="1"/>
  <c r="Q22" i="132"/>
  <c r="R22" i="132" s="1"/>
  <c r="Q32" i="132"/>
  <c r="R32" i="132" s="1"/>
  <c r="Q134" i="132"/>
  <c r="R134" i="132" s="1"/>
  <c r="Q94" i="132"/>
  <c r="R94" i="132" s="1"/>
  <c r="R78" i="132"/>
  <c r="Q78" i="132"/>
  <c r="Q38" i="132"/>
  <c r="R38" i="132" s="1"/>
  <c r="Q24" i="132"/>
  <c r="R24" i="132"/>
  <c r="Q93" i="132"/>
  <c r="R93" i="132" s="1"/>
  <c r="Q69" i="132"/>
  <c r="R69" i="132" s="1"/>
  <c r="R61" i="132"/>
  <c r="R53" i="132"/>
  <c r="Q60" i="132"/>
  <c r="R60" i="132" s="1"/>
  <c r="Q37" i="132"/>
  <c r="R37" i="132" s="1"/>
  <c r="Q59" i="132"/>
  <c r="R59" i="132"/>
  <c r="R51" i="132"/>
  <c r="R43" i="132"/>
  <c r="Q36" i="132"/>
  <c r="R36" i="132" s="1"/>
  <c r="Q106" i="132"/>
  <c r="R106" i="132" s="1"/>
  <c r="Q66" i="132"/>
  <c r="R66" i="132"/>
  <c r="Q50" i="132"/>
  <c r="R50" i="132"/>
  <c r="Q42" i="132"/>
  <c r="R42" i="132"/>
  <c r="S136" i="132"/>
  <c r="Z135" i="132"/>
  <c r="Z136" i="132" s="1"/>
  <c r="K136" i="132"/>
  <c r="E99" i="131"/>
  <c r="C99" i="131"/>
  <c r="E97" i="131"/>
  <c r="E96" i="131"/>
  <c r="E94" i="131"/>
  <c r="E84" i="131"/>
  <c r="E67" i="131"/>
  <c r="E66" i="131"/>
  <c r="E61" i="131"/>
  <c r="E60" i="131"/>
  <c r="E58" i="131"/>
  <c r="E57" i="131"/>
  <c r="E52" i="131"/>
  <c r="E51" i="131"/>
  <c r="E38" i="131"/>
  <c r="E37" i="131"/>
  <c r="C29" i="131"/>
  <c r="E22" i="131"/>
  <c r="E13" i="131"/>
  <c r="C12" i="131"/>
  <c r="E11" i="131"/>
  <c r="E10" i="131"/>
  <c r="E9" i="131"/>
  <c r="E7" i="131"/>
  <c r="C3" i="131"/>
  <c r="C101" i="131" s="1"/>
  <c r="Z198" i="134" l="1"/>
  <c r="AA198" i="134" s="1"/>
  <c r="AH135" i="132"/>
  <c r="AH136" i="132" s="1"/>
  <c r="AK17" i="132" s="1"/>
  <c r="E29" i="131"/>
  <c r="E3" i="131"/>
  <c r="Q135" i="132"/>
  <c r="Q136" i="132" s="1"/>
  <c r="E12" i="131"/>
  <c r="E101" i="131" s="1"/>
  <c r="R135" i="132" l="1"/>
  <c r="R136" i="132" s="1"/>
  <c r="J2" i="130"/>
  <c r="J3" i="130"/>
  <c r="J4" i="130"/>
  <c r="J5" i="130"/>
  <c r="J6" i="130"/>
  <c r="J7" i="130"/>
  <c r="J8" i="130"/>
  <c r="J9" i="130"/>
  <c r="J10" i="130"/>
  <c r="J11" i="130"/>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 i="130"/>
  <c r="V4" i="128" l="1"/>
  <c r="X4" i="128" s="1"/>
  <c r="X59" i="128"/>
  <c r="V59" i="128"/>
  <c r="Q59" i="128"/>
  <c r="N59" i="128"/>
  <c r="P57" i="128"/>
  <c r="P59" i="128" s="1"/>
  <c r="O57" i="128"/>
  <c r="O59" i="128" s="1"/>
  <c r="J57" i="128"/>
  <c r="J59" i="128" s="1"/>
  <c r="I57" i="128"/>
  <c r="I59" i="128" s="1"/>
  <c r="H57" i="128"/>
  <c r="H59" i="128" s="1"/>
  <c r="X56" i="128"/>
  <c r="U52" i="128"/>
  <c r="M52" i="128"/>
  <c r="X51" i="128"/>
  <c r="X50" i="128"/>
  <c r="X49" i="128"/>
  <c r="X48" i="128"/>
  <c r="X47" i="128"/>
  <c r="U46" i="128"/>
  <c r="M46" i="128"/>
  <c r="X45" i="128"/>
  <c r="X43" i="128"/>
  <c r="X41" i="128"/>
  <c r="U36" i="128"/>
  <c r="M36" i="128"/>
  <c r="X34" i="128"/>
  <c r="X32" i="128"/>
  <c r="X31" i="128"/>
  <c r="X29" i="128"/>
  <c r="X28" i="128"/>
  <c r="X25" i="128"/>
  <c r="X24" i="128"/>
  <c r="U23" i="128"/>
  <c r="M23" i="128"/>
  <c r="X22" i="128"/>
  <c r="U21" i="128"/>
  <c r="M21" i="128"/>
  <c r="V4" i="127"/>
  <c r="M57" i="128" l="1"/>
  <c r="C11" i="128" s="1"/>
  <c r="U57" i="128"/>
  <c r="T55" i="128"/>
  <c r="W55" i="128" s="1"/>
  <c r="T44" i="128"/>
  <c r="W44" i="128" s="1"/>
  <c r="T49" i="128"/>
  <c r="W49" i="128" s="1"/>
  <c r="L44" i="128"/>
  <c r="Y44" i="128" s="1"/>
  <c r="T32" i="128"/>
  <c r="L30" i="128"/>
  <c r="Y30" i="128" s="1"/>
  <c r="T48" i="128"/>
  <c r="W48" i="128" s="1"/>
  <c r="L39" i="128"/>
  <c r="Y39" i="128" s="1"/>
  <c r="L32" i="128"/>
  <c r="T27" i="128"/>
  <c r="W27" i="128" s="1"/>
  <c r="T47" i="128"/>
  <c r="W47" i="128" s="1"/>
  <c r="T42" i="128"/>
  <c r="W42" i="128" s="1"/>
  <c r="L27" i="128"/>
  <c r="Y27" i="128" s="1"/>
  <c r="T24" i="128"/>
  <c r="W24" i="128" s="1"/>
  <c r="T56" i="128"/>
  <c r="U59" i="128"/>
  <c r="C12" i="128"/>
  <c r="L25" i="128" l="1"/>
  <c r="Y25" i="128" s="1"/>
  <c r="T43" i="128"/>
  <c r="T28" i="128"/>
  <c r="L40" i="128"/>
  <c r="L31" i="128"/>
  <c r="L45" i="128"/>
  <c r="T50" i="128"/>
  <c r="W50" i="128" s="1"/>
  <c r="L28" i="128"/>
  <c r="L48" i="128"/>
  <c r="Y48" i="128" s="1"/>
  <c r="L49" i="128"/>
  <c r="Y49" i="128" s="1"/>
  <c r="T35" i="128"/>
  <c r="L53" i="128"/>
  <c r="Y53" i="128" s="1"/>
  <c r="T29" i="128"/>
  <c r="T51" i="128"/>
  <c r="W51" i="128" s="1"/>
  <c r="T34" i="128"/>
  <c r="W34" i="128" s="1"/>
  <c r="M59" i="128"/>
  <c r="AB13" i="128" s="1"/>
  <c r="T37" i="128"/>
  <c r="W37" i="128" s="1"/>
  <c r="L54" i="128"/>
  <c r="Y54" i="128" s="1"/>
  <c r="L42" i="128"/>
  <c r="Y42" i="128" s="1"/>
  <c r="L33" i="128"/>
  <c r="Y33" i="128" s="1"/>
  <c r="L35" i="128"/>
  <c r="L22" i="128"/>
  <c r="L55" i="128"/>
  <c r="Y55" i="128" s="1"/>
  <c r="L24" i="128"/>
  <c r="Y24" i="128" s="1"/>
  <c r="L34" i="128"/>
  <c r="Y34" i="128" s="1"/>
  <c r="L37" i="128"/>
  <c r="Y37" i="128" s="1"/>
  <c r="T31" i="128"/>
  <c r="T39" i="128"/>
  <c r="W39" i="128" s="1"/>
  <c r="L56" i="128"/>
  <c r="T45" i="128"/>
  <c r="T33" i="128"/>
  <c r="W33" i="128" s="1"/>
  <c r="L29" i="128"/>
  <c r="T22" i="128"/>
  <c r="T57" i="128" s="1"/>
  <c r="T59" i="128" s="1"/>
  <c r="T38" i="128"/>
  <c r="W38" i="128" s="1"/>
  <c r="L43" i="128"/>
  <c r="T25" i="128"/>
  <c r="W25" i="128" s="1"/>
  <c r="T30" i="128"/>
  <c r="W30" i="128" s="1"/>
  <c r="T41" i="128"/>
  <c r="L26" i="128"/>
  <c r="Y26" i="128" s="1"/>
  <c r="L38" i="128"/>
  <c r="Y38" i="128" s="1"/>
  <c r="T26" i="128"/>
  <c r="T40" i="128"/>
  <c r="L41" i="128"/>
  <c r="Y41" i="128" s="1"/>
  <c r="L47" i="128"/>
  <c r="Y47" i="128" s="1"/>
  <c r="L50" i="128"/>
  <c r="Y50" i="128" s="1"/>
  <c r="L51" i="128"/>
  <c r="Y51" i="128" s="1"/>
  <c r="T54" i="128"/>
  <c r="W54" i="128" s="1"/>
  <c r="T53" i="128"/>
  <c r="W53" i="128" s="1"/>
  <c r="AB12" i="128"/>
  <c r="W22" i="128" l="1"/>
  <c r="L57" i="128"/>
  <c r="L59" i="128" s="1"/>
  <c r="R22" i="128"/>
  <c r="R57" i="128" s="1"/>
  <c r="R59" i="128" s="1"/>
  <c r="W57" i="128"/>
  <c r="W59" i="128" s="1"/>
  <c r="Y22" i="128"/>
  <c r="Y57" i="128" s="1"/>
  <c r="Y59" i="128" s="1"/>
  <c r="AB15" i="128" s="1"/>
  <c r="X59" i="127" l="1"/>
  <c r="V59" i="127"/>
  <c r="Q59" i="127"/>
  <c r="N59" i="127"/>
  <c r="P57" i="127"/>
  <c r="P59" i="127" s="1"/>
  <c r="O57" i="127"/>
  <c r="O59" i="127" s="1"/>
  <c r="J57" i="127"/>
  <c r="J59" i="127" s="1"/>
  <c r="I57" i="127"/>
  <c r="I59" i="127" s="1"/>
  <c r="H57" i="127"/>
  <c r="H59" i="127" s="1"/>
  <c r="X56" i="127"/>
  <c r="U52" i="127"/>
  <c r="M52" i="127"/>
  <c r="X51" i="127"/>
  <c r="X50" i="127"/>
  <c r="X49" i="127"/>
  <c r="X48" i="127"/>
  <c r="X47" i="127"/>
  <c r="U46" i="127"/>
  <c r="M46" i="127"/>
  <c r="X45" i="127"/>
  <c r="X43" i="127"/>
  <c r="X41" i="127"/>
  <c r="U36" i="127"/>
  <c r="M36" i="127"/>
  <c r="X34" i="127"/>
  <c r="X32" i="127"/>
  <c r="X31" i="127"/>
  <c r="X29" i="127"/>
  <c r="X28" i="127"/>
  <c r="X25" i="127"/>
  <c r="X24" i="127"/>
  <c r="U23" i="127"/>
  <c r="M23" i="127"/>
  <c r="X22" i="127"/>
  <c r="U21" i="127"/>
  <c r="M21" i="127"/>
  <c r="X4" i="127"/>
  <c r="U57" i="127" l="1"/>
  <c r="M57" i="127"/>
  <c r="L43" i="127" s="1"/>
  <c r="L48" i="127"/>
  <c r="Y48" i="127" s="1"/>
  <c r="L35" i="127"/>
  <c r="L32" i="127"/>
  <c r="L54" i="127"/>
  <c r="Y54" i="127" s="1"/>
  <c r="L31" i="127"/>
  <c r="M59" i="127"/>
  <c r="AB13" i="127" s="1"/>
  <c r="Q146" i="126"/>
  <c r="N146" i="126"/>
  <c r="T145" i="126"/>
  <c r="T146" i="126" s="1"/>
  <c r="P145" i="126"/>
  <c r="P146" i="126" s="1"/>
  <c r="L145" i="126"/>
  <c r="L146" i="126" s="1"/>
  <c r="J145" i="126"/>
  <c r="J146" i="126" s="1"/>
  <c r="I145" i="126"/>
  <c r="I146" i="126" s="1"/>
  <c r="H145" i="126"/>
  <c r="H146" i="126" s="1"/>
  <c r="G145" i="126"/>
  <c r="G146" i="126" s="1"/>
  <c r="F145" i="126"/>
  <c r="X144" i="126"/>
  <c r="W144" i="126"/>
  <c r="R144" i="126"/>
  <c r="X143" i="126"/>
  <c r="W143" i="126"/>
  <c r="R143" i="126"/>
  <c r="R141" i="126"/>
  <c r="X139" i="126"/>
  <c r="W139" i="126"/>
  <c r="R139" i="126"/>
  <c r="X137" i="126"/>
  <c r="W137" i="126"/>
  <c r="R137" i="126"/>
  <c r="X135" i="126"/>
  <c r="W135" i="126"/>
  <c r="R135" i="126"/>
  <c r="X133" i="126"/>
  <c r="W133" i="126"/>
  <c r="Y133" i="126" s="1"/>
  <c r="R133" i="126"/>
  <c r="X131" i="126"/>
  <c r="R131" i="126"/>
  <c r="Y131" i="126" s="1"/>
  <c r="X129" i="126"/>
  <c r="R129" i="126"/>
  <c r="Y129" i="126" s="1"/>
  <c r="X127" i="126"/>
  <c r="W127" i="126"/>
  <c r="R127" i="126"/>
  <c r="Y127" i="126" s="1"/>
  <c r="X125" i="126"/>
  <c r="W125" i="126"/>
  <c r="R125" i="126"/>
  <c r="X123" i="126"/>
  <c r="W123" i="126"/>
  <c r="R123" i="126"/>
  <c r="X121" i="126"/>
  <c r="W121" i="126"/>
  <c r="Y121" i="126" s="1"/>
  <c r="R121" i="126"/>
  <c r="R119" i="126"/>
  <c r="Y117" i="126"/>
  <c r="W117" i="126"/>
  <c r="R117" i="126"/>
  <c r="W115" i="126"/>
  <c r="R115" i="126"/>
  <c r="Y113" i="126"/>
  <c r="W113" i="126"/>
  <c r="R113" i="126"/>
  <c r="U111" i="126"/>
  <c r="M111" i="126"/>
  <c r="W110" i="126"/>
  <c r="X109" i="126"/>
  <c r="W109" i="126"/>
  <c r="R109" i="126"/>
  <c r="X108" i="126"/>
  <c r="R108" i="126"/>
  <c r="Y108" i="126" s="1"/>
  <c r="W107" i="126"/>
  <c r="R107" i="126"/>
  <c r="X106" i="126"/>
  <c r="W106" i="126"/>
  <c r="R106" i="126"/>
  <c r="X105" i="126"/>
  <c r="W105" i="126"/>
  <c r="Y105" i="126" s="1"/>
  <c r="X104" i="126"/>
  <c r="W104" i="126"/>
  <c r="Y104" i="126" s="1"/>
  <c r="X103" i="126"/>
  <c r="W103" i="126"/>
  <c r="R103" i="126"/>
  <c r="X102" i="126"/>
  <c r="W102" i="126"/>
  <c r="R102" i="126"/>
  <c r="X101" i="126"/>
  <c r="W101" i="126"/>
  <c r="R101" i="126"/>
  <c r="W100" i="126"/>
  <c r="R100" i="126"/>
  <c r="X99" i="126"/>
  <c r="W99" i="126"/>
  <c r="Y99" i="126" s="1"/>
  <c r="R99" i="126"/>
  <c r="X98" i="126"/>
  <c r="W98" i="126"/>
  <c r="R98" i="126"/>
  <c r="X97" i="126"/>
  <c r="W97" i="126"/>
  <c r="R97" i="126"/>
  <c r="X96" i="126"/>
  <c r="W96" i="126"/>
  <c r="R96" i="126"/>
  <c r="X95" i="126"/>
  <c r="W95" i="126"/>
  <c r="R95" i="126"/>
  <c r="X94" i="126"/>
  <c r="W94" i="126"/>
  <c r="R94" i="126"/>
  <c r="X93" i="126"/>
  <c r="W93" i="126"/>
  <c r="R93" i="126"/>
  <c r="X92" i="126"/>
  <c r="W92" i="126"/>
  <c r="R92" i="126"/>
  <c r="X91" i="126"/>
  <c r="W91" i="126"/>
  <c r="Y91" i="126" s="1"/>
  <c r="R91" i="126"/>
  <c r="X90" i="126"/>
  <c r="W90" i="126"/>
  <c r="R90" i="126"/>
  <c r="X89" i="126"/>
  <c r="W89" i="126"/>
  <c r="R89" i="126"/>
  <c r="X88" i="126"/>
  <c r="W88" i="126"/>
  <c r="R88" i="126"/>
  <c r="X87" i="126"/>
  <c r="W87" i="126"/>
  <c r="R87" i="126"/>
  <c r="X86" i="126"/>
  <c r="W86" i="126"/>
  <c r="R86" i="126"/>
  <c r="X85" i="126"/>
  <c r="W85" i="126"/>
  <c r="R85" i="126"/>
  <c r="X84" i="126"/>
  <c r="W84" i="126"/>
  <c r="R84" i="126"/>
  <c r="X83" i="126"/>
  <c r="R83" i="126"/>
  <c r="Y83" i="126" s="1"/>
  <c r="X82" i="126"/>
  <c r="W82" i="126"/>
  <c r="R82" i="126"/>
  <c r="X81" i="126"/>
  <c r="W81" i="126"/>
  <c r="Y81" i="126" s="1"/>
  <c r="R81" i="126"/>
  <c r="X80" i="126"/>
  <c r="W80" i="126"/>
  <c r="R80" i="126"/>
  <c r="X79" i="126"/>
  <c r="W79" i="126"/>
  <c r="R79" i="126"/>
  <c r="X78" i="126"/>
  <c r="W78" i="126"/>
  <c r="R78" i="126"/>
  <c r="X77" i="126"/>
  <c r="W77" i="126"/>
  <c r="R77" i="126"/>
  <c r="X76" i="126"/>
  <c r="W76" i="126"/>
  <c r="R76" i="126"/>
  <c r="AD75" i="126"/>
  <c r="W75" i="126"/>
  <c r="R75" i="126"/>
  <c r="X74" i="126"/>
  <c r="W74" i="126"/>
  <c r="R74" i="126"/>
  <c r="W73" i="126"/>
  <c r="R73" i="126"/>
  <c r="W72" i="126"/>
  <c r="R72" i="126"/>
  <c r="W71" i="126"/>
  <c r="R71" i="126"/>
  <c r="W70" i="126"/>
  <c r="R70" i="126"/>
  <c r="W69" i="126"/>
  <c r="R69" i="126"/>
  <c r="W68" i="126"/>
  <c r="R68" i="126"/>
  <c r="W67" i="126"/>
  <c r="R67" i="126"/>
  <c r="X66" i="126"/>
  <c r="W66" i="126"/>
  <c r="R66" i="126"/>
  <c r="X65" i="126"/>
  <c r="W65" i="126"/>
  <c r="R65" i="126"/>
  <c r="R64" i="126"/>
  <c r="R63" i="126"/>
  <c r="R62" i="126"/>
  <c r="R61" i="126"/>
  <c r="R60" i="126"/>
  <c r="R59" i="126"/>
  <c r="R58" i="126"/>
  <c r="R57" i="126"/>
  <c r="R56" i="126"/>
  <c r="R55" i="126"/>
  <c r="R54" i="126"/>
  <c r="W53" i="126"/>
  <c r="R53" i="126"/>
  <c r="R52" i="126"/>
  <c r="W51" i="126"/>
  <c r="R51" i="126"/>
  <c r="X50" i="126"/>
  <c r="W50" i="126"/>
  <c r="R50" i="126"/>
  <c r="W49" i="126"/>
  <c r="R49" i="126"/>
  <c r="X48" i="126"/>
  <c r="W48" i="126"/>
  <c r="R48" i="126"/>
  <c r="X47" i="126"/>
  <c r="W47" i="126"/>
  <c r="R47" i="126"/>
  <c r="X46" i="126"/>
  <c r="R46" i="126"/>
  <c r="Y45" i="126"/>
  <c r="R45" i="126"/>
  <c r="X44" i="126"/>
  <c r="W44" i="126"/>
  <c r="R44" i="126"/>
  <c r="X43" i="126"/>
  <c r="W43" i="126"/>
  <c r="R43" i="126"/>
  <c r="X41" i="126"/>
  <c r="W41" i="126"/>
  <c r="R41" i="126"/>
  <c r="U39" i="126"/>
  <c r="M39" i="126"/>
  <c r="Y38" i="126"/>
  <c r="V38" i="126"/>
  <c r="W38" i="126" s="1"/>
  <c r="R38" i="126"/>
  <c r="Y37" i="126"/>
  <c r="V37" i="126"/>
  <c r="W37" i="126" s="1"/>
  <c r="R37" i="126"/>
  <c r="Y36" i="126"/>
  <c r="V36" i="126"/>
  <c r="R36" i="126"/>
  <c r="Y35" i="126"/>
  <c r="V35" i="126"/>
  <c r="W35" i="126" s="1"/>
  <c r="R35" i="126"/>
  <c r="Y34" i="126"/>
  <c r="W34" i="126"/>
  <c r="R34" i="126"/>
  <c r="Y33" i="126"/>
  <c r="V33" i="126"/>
  <c r="W33" i="126" s="1"/>
  <c r="R33" i="126"/>
  <c r="Y32" i="126"/>
  <c r="V32" i="126"/>
  <c r="W32" i="126" s="1"/>
  <c r="R32" i="126"/>
  <c r="Y31" i="126"/>
  <c r="V31" i="126"/>
  <c r="W31" i="126" s="1"/>
  <c r="R31" i="126"/>
  <c r="Y30" i="126"/>
  <c r="V30" i="126"/>
  <c r="W30" i="126" s="1"/>
  <c r="R30" i="126"/>
  <c r="Y29" i="126"/>
  <c r="V29" i="126"/>
  <c r="R29" i="126"/>
  <c r="Y28" i="126"/>
  <c r="V28" i="126"/>
  <c r="R28" i="126"/>
  <c r="U27" i="126"/>
  <c r="M27" i="126"/>
  <c r="X23" i="126"/>
  <c r="Y23" i="126" s="1"/>
  <c r="W23" i="126"/>
  <c r="O23" i="126"/>
  <c r="O145" i="126" s="1"/>
  <c r="O146" i="126" s="1"/>
  <c r="X22" i="126"/>
  <c r="W22" i="126"/>
  <c r="R22" i="126"/>
  <c r="O22" i="126"/>
  <c r="W21" i="126"/>
  <c r="O21" i="126"/>
  <c r="R21" i="126" s="1"/>
  <c r="U20" i="126"/>
  <c r="M20" i="126"/>
  <c r="K133" i="125"/>
  <c r="K134" i="125" s="1"/>
  <c r="P134" i="125"/>
  <c r="M134" i="125"/>
  <c r="T133" i="125"/>
  <c r="T134" i="125" s="1"/>
  <c r="O133" i="125"/>
  <c r="O134" i="125" s="1"/>
  <c r="I133" i="125"/>
  <c r="I134" i="125" s="1"/>
  <c r="H133" i="125"/>
  <c r="H134" i="125" s="1"/>
  <c r="G133" i="125"/>
  <c r="G134" i="125" s="1"/>
  <c r="F133" i="125"/>
  <c r="F134" i="125" s="1"/>
  <c r="E133" i="125"/>
  <c r="AF44" i="125"/>
  <c r="V44" i="125"/>
  <c r="X44" i="125" s="1"/>
  <c r="R44" i="125"/>
  <c r="AF43" i="125"/>
  <c r="V43" i="125"/>
  <c r="R43" i="125"/>
  <c r="AF35" i="125"/>
  <c r="V35" i="125"/>
  <c r="R35" i="125"/>
  <c r="AE31" i="125"/>
  <c r="AF31" i="125" s="1"/>
  <c r="X31" i="125"/>
  <c r="N31" i="125"/>
  <c r="AE30" i="125"/>
  <c r="X30" i="125"/>
  <c r="R30" i="125"/>
  <c r="N30" i="125"/>
  <c r="X29" i="125"/>
  <c r="N29" i="125"/>
  <c r="R29" i="125" s="1"/>
  <c r="Y50" i="126" l="1"/>
  <c r="Y77" i="126"/>
  <c r="Y82" i="126"/>
  <c r="Y85" i="126"/>
  <c r="Y93" i="126"/>
  <c r="Y125" i="126"/>
  <c r="Y41" i="126"/>
  <c r="Y48" i="126"/>
  <c r="Y65" i="126"/>
  <c r="Y78" i="126"/>
  <c r="Y109" i="126"/>
  <c r="Y84" i="126"/>
  <c r="Y92" i="126"/>
  <c r="Y79" i="126"/>
  <c r="L26" i="127"/>
  <c r="Y26" i="127" s="1"/>
  <c r="Y90" i="126"/>
  <c r="Y98" i="126"/>
  <c r="Y101" i="126"/>
  <c r="Y80" i="126"/>
  <c r="Y88" i="126"/>
  <c r="Y96" i="126"/>
  <c r="Y123" i="126"/>
  <c r="Y44" i="126"/>
  <c r="Y95" i="126"/>
  <c r="Y106" i="126"/>
  <c r="Y76" i="126"/>
  <c r="Y86" i="126"/>
  <c r="Y94" i="126"/>
  <c r="U145" i="126"/>
  <c r="Y135" i="126"/>
  <c r="Y87" i="126"/>
  <c r="Y66" i="126"/>
  <c r="Y89" i="126"/>
  <c r="Y97" i="126"/>
  <c r="Y74" i="126"/>
  <c r="Y143" i="126"/>
  <c r="Y102" i="126"/>
  <c r="Y137" i="126"/>
  <c r="M145" i="126"/>
  <c r="Y144" i="126"/>
  <c r="Y103" i="126"/>
  <c r="Y139" i="126"/>
  <c r="Y47" i="126"/>
  <c r="L134" i="125"/>
  <c r="R133" i="125"/>
  <c r="R134" i="125" s="1"/>
  <c r="U133" i="125"/>
  <c r="N133" i="125"/>
  <c r="N134" i="125" s="1"/>
  <c r="L42" i="127"/>
  <c r="Y42" i="127" s="1"/>
  <c r="T22" i="127"/>
  <c r="T27" i="127"/>
  <c r="W27" i="127" s="1"/>
  <c r="T31" i="127"/>
  <c r="T35" i="127"/>
  <c r="T40" i="127"/>
  <c r="T44" i="127"/>
  <c r="W44" i="127" s="1"/>
  <c r="T49" i="127"/>
  <c r="W49" i="127" s="1"/>
  <c r="T54" i="127"/>
  <c r="W54" i="127" s="1"/>
  <c r="T24" i="127"/>
  <c r="T28" i="127"/>
  <c r="T32" i="127"/>
  <c r="T37" i="127"/>
  <c r="T41" i="127"/>
  <c r="T45" i="127"/>
  <c r="T50" i="127"/>
  <c r="W50" i="127" s="1"/>
  <c r="T55" i="127"/>
  <c r="W55" i="127" s="1"/>
  <c r="T25" i="127"/>
  <c r="T29" i="127"/>
  <c r="T33" i="127"/>
  <c r="W33" i="127" s="1"/>
  <c r="T38" i="127"/>
  <c r="W38" i="127" s="1"/>
  <c r="T42" i="127"/>
  <c r="W42" i="127" s="1"/>
  <c r="T47" i="127"/>
  <c r="T51" i="127"/>
  <c r="W51" i="127" s="1"/>
  <c r="L34" i="127"/>
  <c r="Y34" i="127" s="1"/>
  <c r="T26" i="127"/>
  <c r="T30" i="127"/>
  <c r="W30" i="127" s="1"/>
  <c r="T34" i="127"/>
  <c r="T39" i="127"/>
  <c r="W39" i="127" s="1"/>
  <c r="T43" i="127"/>
  <c r="T48" i="127"/>
  <c r="W48" i="127" s="1"/>
  <c r="T53" i="127"/>
  <c r="W53" i="127" s="1"/>
  <c r="L33" i="127"/>
  <c r="Y33" i="127" s="1"/>
  <c r="L37" i="127"/>
  <c r="Y37" i="127" s="1"/>
  <c r="L51" i="127"/>
  <c r="Y51" i="127" s="1"/>
  <c r="L28" i="127"/>
  <c r="W37" i="127"/>
  <c r="W34" i="127"/>
  <c r="T56" i="127"/>
  <c r="W22" i="127"/>
  <c r="C11" i="127"/>
  <c r="W25" i="127"/>
  <c r="W47" i="127"/>
  <c r="W24" i="127"/>
  <c r="U59" i="127"/>
  <c r="L30" i="127"/>
  <c r="Y30" i="127" s="1"/>
  <c r="L50" i="127"/>
  <c r="Y50" i="127" s="1"/>
  <c r="L44" i="127"/>
  <c r="Y44" i="127" s="1"/>
  <c r="L27" i="127"/>
  <c r="Y27" i="127" s="1"/>
  <c r="L22" i="127"/>
  <c r="R22" i="127" s="1"/>
  <c r="R57" i="127" s="1"/>
  <c r="R59" i="127" s="1"/>
  <c r="L41" i="127"/>
  <c r="Y41" i="127" s="1"/>
  <c r="L40" i="127"/>
  <c r="L39" i="127"/>
  <c r="Y39" i="127" s="1"/>
  <c r="L55" i="127"/>
  <c r="Y55" i="127" s="1"/>
  <c r="L53" i="127"/>
  <c r="Y53" i="127" s="1"/>
  <c r="L47" i="127"/>
  <c r="Y47" i="127" s="1"/>
  <c r="L38" i="127"/>
  <c r="Y38" i="127" s="1"/>
  <c r="L24" i="127"/>
  <c r="Y24" i="127" s="1"/>
  <c r="L45" i="127"/>
  <c r="L56" i="127"/>
  <c r="L25" i="127"/>
  <c r="Y25" i="127" s="1"/>
  <c r="L49" i="127"/>
  <c r="Y49" i="127" s="1"/>
  <c r="L29" i="127"/>
  <c r="U146" i="126"/>
  <c r="W145" i="126"/>
  <c r="W146" i="126" s="1"/>
  <c r="R145" i="126"/>
  <c r="R146" i="126" s="1"/>
  <c r="X133" i="125"/>
  <c r="X134" i="125" s="1"/>
  <c r="H29" i="124"/>
  <c r="D31" i="124"/>
  <c r="E24" i="124"/>
  <c r="D24" i="124"/>
  <c r="E16" i="124"/>
  <c r="E15" i="124"/>
  <c r="H43" i="123"/>
  <c r="Y145" i="126" l="1"/>
  <c r="Y146" i="126" s="1"/>
  <c r="AB15" i="126" s="1"/>
  <c r="T57" i="127"/>
  <c r="T59" i="127" s="1"/>
  <c r="M146" i="126"/>
  <c r="C11" i="126"/>
  <c r="C12" i="126" s="1"/>
  <c r="U134" i="125"/>
  <c r="AF133" i="125"/>
  <c r="AF134" i="125" s="1"/>
  <c r="AI15" i="125" s="1"/>
  <c r="C12" i="127"/>
  <c r="AB12" i="127"/>
  <c r="L57" i="127"/>
  <c r="L59" i="127" s="1"/>
  <c r="Y22" i="127"/>
  <c r="Y57" i="127" s="1"/>
  <c r="Y59" i="127" s="1"/>
  <c r="AB15" i="127" s="1"/>
  <c r="W57" i="127"/>
  <c r="W59" i="127" s="1"/>
  <c r="E93" i="124"/>
  <c r="E15" i="123"/>
  <c r="K63" i="123" l="1"/>
  <c r="H39" i="124" l="1"/>
  <c r="E98" i="124"/>
  <c r="E97" i="124"/>
  <c r="H15" i="124"/>
  <c r="E10" i="124"/>
  <c r="D11" i="124"/>
  <c r="E42" i="123"/>
  <c r="D19" i="123"/>
  <c r="E27" i="123"/>
  <c r="E32" i="123"/>
  <c r="E41" i="123"/>
  <c r="H21" i="123"/>
  <c r="D43" i="123"/>
  <c r="E35" i="123" l="1"/>
  <c r="H15" i="123" l="1"/>
  <c r="H14" i="123"/>
  <c r="H12" i="123"/>
  <c r="E13" i="123" l="1"/>
  <c r="E38" i="124" l="1"/>
  <c r="E39" i="124"/>
  <c r="F38" i="124" l="1"/>
  <c r="D29" i="124" l="1"/>
  <c r="E101" i="124"/>
  <c r="D21" i="123" l="1"/>
  <c r="E43" i="123" l="1"/>
  <c r="E113" i="124" l="1"/>
  <c r="H9" i="123" l="1"/>
  <c r="E86" i="124" l="1"/>
  <c r="A4" i="123" l="1"/>
  <c r="J130" i="124" l="1"/>
  <c r="J131" i="124" s="1"/>
  <c r="J61" i="123"/>
  <c r="J63" i="123" l="1"/>
  <c r="L63" i="123" s="1"/>
  <c r="N7" i="123"/>
  <c r="N8" i="123" s="1"/>
  <c r="E14" i="123"/>
  <c r="E61" i="124" l="1"/>
  <c r="A4" i="124" l="1"/>
  <c r="C21" i="123" l="1"/>
  <c r="M43" i="123" l="1"/>
  <c r="M45" i="123" s="1"/>
  <c r="D9" i="124" l="1"/>
  <c r="H9" i="124"/>
  <c r="C9" i="124"/>
  <c r="F13" i="124"/>
  <c r="J13" i="124" s="1"/>
  <c r="G13" i="124" l="1"/>
  <c r="I13" i="124" s="1"/>
  <c r="K13" i="124"/>
  <c r="L13" i="124"/>
  <c r="E10" i="123"/>
  <c r="E23" i="124" l="1"/>
  <c r="E17" i="124"/>
  <c r="E18" i="124"/>
  <c r="E9" i="124" l="1"/>
  <c r="F13" i="123"/>
  <c r="J13" i="123" s="1"/>
  <c r="K13" i="123" l="1"/>
  <c r="L13" i="123"/>
  <c r="G13" i="123"/>
  <c r="I13" i="123" s="1"/>
  <c r="E20" i="124"/>
  <c r="H20" i="124"/>
  <c r="D25" i="124"/>
  <c r="H31" i="124"/>
  <c r="H97" i="124"/>
  <c r="B17" i="120"/>
  <c r="B16" i="120"/>
  <c r="B15" i="120"/>
  <c r="C14" i="120"/>
  <c r="D14" i="120"/>
  <c r="H14" i="120"/>
  <c r="B14" i="120"/>
  <c r="B12" i="120"/>
  <c r="B11" i="120"/>
  <c r="B10" i="120"/>
  <c r="B9" i="120"/>
  <c r="H8" i="120"/>
  <c r="B8" i="120"/>
  <c r="D40" i="123"/>
  <c r="D12" i="120" s="1"/>
  <c r="E40" i="123"/>
  <c r="E12" i="120" s="1"/>
  <c r="H40" i="123"/>
  <c r="H12" i="120" s="1"/>
  <c r="C40" i="123"/>
  <c r="D30" i="123"/>
  <c r="D11" i="120" s="1"/>
  <c r="E30" i="123"/>
  <c r="E11" i="120" s="1"/>
  <c r="H30" i="123"/>
  <c r="H11" i="120" s="1"/>
  <c r="C30" i="123"/>
  <c r="C11" i="120" s="1"/>
  <c r="D17" i="123"/>
  <c r="D10" i="120" s="1"/>
  <c r="E17" i="123"/>
  <c r="E10" i="120" s="1"/>
  <c r="H17" i="123"/>
  <c r="H10" i="120" s="1"/>
  <c r="C17" i="123"/>
  <c r="C11" i="123"/>
  <c r="C9" i="120" s="1"/>
  <c r="D9" i="123"/>
  <c r="D8" i="120" s="1"/>
  <c r="E9" i="123"/>
  <c r="E8" i="120" s="1"/>
  <c r="C9" i="123"/>
  <c r="C8" i="120" s="1"/>
  <c r="C45" i="123" l="1"/>
  <c r="C10" i="120"/>
  <c r="C12" i="120"/>
  <c r="D95" i="124"/>
  <c r="D17" i="120" s="1"/>
  <c r="E95" i="124"/>
  <c r="E17" i="120" s="1"/>
  <c r="H95" i="124"/>
  <c r="H17" i="120" s="1"/>
  <c r="D26" i="124"/>
  <c r="D16" i="120" s="1"/>
  <c r="E26" i="124"/>
  <c r="E16" i="120" s="1"/>
  <c r="H26" i="124"/>
  <c r="H16" i="120" s="1"/>
  <c r="F113" i="124"/>
  <c r="G113" i="124" s="1"/>
  <c r="I113" i="124" s="1"/>
  <c r="F112" i="124"/>
  <c r="J112" i="124" s="1"/>
  <c r="L112" i="124" s="1"/>
  <c r="F111" i="124"/>
  <c r="G111" i="124" s="1"/>
  <c r="I111" i="124" s="1"/>
  <c r="F110" i="124"/>
  <c r="J110" i="124" s="1"/>
  <c r="L110" i="124" s="1"/>
  <c r="F109" i="124"/>
  <c r="G109" i="124" s="1"/>
  <c r="I109" i="124" s="1"/>
  <c r="F108" i="124"/>
  <c r="J108" i="124" s="1"/>
  <c r="L108" i="124" s="1"/>
  <c r="F107" i="124"/>
  <c r="G107" i="124" s="1"/>
  <c r="I107" i="124" s="1"/>
  <c r="F106" i="124"/>
  <c r="J106" i="124" s="1"/>
  <c r="K106" i="124" s="1"/>
  <c r="F105" i="124"/>
  <c r="G105" i="124" s="1"/>
  <c r="I105" i="124" s="1"/>
  <c r="F104" i="124"/>
  <c r="J104" i="124" s="1"/>
  <c r="L104" i="124" s="1"/>
  <c r="F103" i="124"/>
  <c r="G103" i="124" s="1"/>
  <c r="I103" i="124" s="1"/>
  <c r="F102" i="124"/>
  <c r="J102" i="124" s="1"/>
  <c r="L102" i="124" s="1"/>
  <c r="F101" i="124"/>
  <c r="G101" i="124" s="1"/>
  <c r="I101" i="124" s="1"/>
  <c r="F100" i="124"/>
  <c r="J100" i="124" s="1"/>
  <c r="L100" i="124" s="1"/>
  <c r="F99" i="124"/>
  <c r="G99" i="124" s="1"/>
  <c r="I99" i="124" s="1"/>
  <c r="F98" i="124"/>
  <c r="J98" i="124" s="1"/>
  <c r="K98" i="124" s="1"/>
  <c r="F97" i="124"/>
  <c r="G97" i="124" s="1"/>
  <c r="I97" i="124" s="1"/>
  <c r="I96" i="124"/>
  <c r="F96" i="124"/>
  <c r="J96" i="124" s="1"/>
  <c r="L96" i="124" s="1"/>
  <c r="C95" i="124"/>
  <c r="C17" i="120" s="1"/>
  <c r="F94" i="124"/>
  <c r="J94" i="124" s="1"/>
  <c r="K94" i="124" s="1"/>
  <c r="F93" i="124"/>
  <c r="G93" i="124" s="1"/>
  <c r="I93" i="124" s="1"/>
  <c r="F92" i="124"/>
  <c r="J92" i="124" s="1"/>
  <c r="K92" i="124" s="1"/>
  <c r="F91" i="124"/>
  <c r="G91" i="124" s="1"/>
  <c r="I91" i="124" s="1"/>
  <c r="F90" i="124"/>
  <c r="J90" i="124" s="1"/>
  <c r="K90" i="124" s="1"/>
  <c r="F89" i="124"/>
  <c r="J89" i="124" s="1"/>
  <c r="K89" i="124" s="1"/>
  <c r="F88" i="124"/>
  <c r="J88" i="124" s="1"/>
  <c r="F87" i="124"/>
  <c r="G87" i="124" s="1"/>
  <c r="I87" i="124" s="1"/>
  <c r="F86" i="124"/>
  <c r="J86" i="124" s="1"/>
  <c r="F85" i="124"/>
  <c r="J85" i="124" s="1"/>
  <c r="F84" i="124"/>
  <c r="J84" i="124" s="1"/>
  <c r="L84" i="124" s="1"/>
  <c r="F83" i="124"/>
  <c r="J83" i="124" s="1"/>
  <c r="K83" i="124" s="1"/>
  <c r="F82" i="124"/>
  <c r="J82" i="124" s="1"/>
  <c r="F81" i="124"/>
  <c r="J81" i="124" s="1"/>
  <c r="F80" i="124"/>
  <c r="G80" i="124" s="1"/>
  <c r="I80" i="124" s="1"/>
  <c r="F79" i="124"/>
  <c r="J79" i="124" s="1"/>
  <c r="F78" i="124"/>
  <c r="J78" i="124" s="1"/>
  <c r="F77" i="124"/>
  <c r="G77" i="124" s="1"/>
  <c r="I77" i="124" s="1"/>
  <c r="F76" i="124"/>
  <c r="J76" i="124" s="1"/>
  <c r="F75" i="124"/>
  <c r="J75" i="124" s="1"/>
  <c r="F74" i="124"/>
  <c r="J74" i="124" s="1"/>
  <c r="F73" i="124"/>
  <c r="J73" i="124" s="1"/>
  <c r="K73" i="124" s="1"/>
  <c r="F72" i="124"/>
  <c r="J72" i="124" s="1"/>
  <c r="L72" i="124" s="1"/>
  <c r="F71" i="124"/>
  <c r="G71" i="124" s="1"/>
  <c r="I71" i="124" s="1"/>
  <c r="F70" i="124"/>
  <c r="J70" i="124" s="1"/>
  <c r="F69" i="124"/>
  <c r="J69" i="124" s="1"/>
  <c r="K69" i="124" s="1"/>
  <c r="F68" i="124"/>
  <c r="J68" i="124" s="1"/>
  <c r="L68" i="124" s="1"/>
  <c r="F67" i="124"/>
  <c r="G67" i="124" s="1"/>
  <c r="I67" i="124" s="1"/>
  <c r="F66" i="124"/>
  <c r="J66" i="124" s="1"/>
  <c r="F65" i="124"/>
  <c r="J65" i="124" s="1"/>
  <c r="K65" i="124" s="1"/>
  <c r="F64" i="124"/>
  <c r="G64" i="124" s="1"/>
  <c r="I64" i="124" s="1"/>
  <c r="F63" i="124"/>
  <c r="G63" i="124" s="1"/>
  <c r="I63" i="124" s="1"/>
  <c r="F62" i="124"/>
  <c r="J62" i="124" s="1"/>
  <c r="F61" i="124"/>
  <c r="J61" i="124" s="1"/>
  <c r="K61" i="124" s="1"/>
  <c r="F60" i="124"/>
  <c r="J60" i="124" s="1"/>
  <c r="F59" i="124"/>
  <c r="G59" i="124" s="1"/>
  <c r="I59" i="124" s="1"/>
  <c r="F58" i="124"/>
  <c r="J58" i="124" s="1"/>
  <c r="F57" i="124"/>
  <c r="G57" i="124" s="1"/>
  <c r="I57" i="124" s="1"/>
  <c r="F56" i="124"/>
  <c r="J56" i="124" s="1"/>
  <c r="F55" i="124"/>
  <c r="G55" i="124" s="1"/>
  <c r="I55" i="124" s="1"/>
  <c r="F54" i="124"/>
  <c r="J54" i="124" s="1"/>
  <c r="F53" i="124"/>
  <c r="G53" i="124" s="1"/>
  <c r="I53" i="124" s="1"/>
  <c r="F52" i="124"/>
  <c r="J52" i="124" s="1"/>
  <c r="F51" i="124"/>
  <c r="G51" i="124" s="1"/>
  <c r="I51" i="124" s="1"/>
  <c r="F50" i="124"/>
  <c r="J50" i="124" s="1"/>
  <c r="F49" i="124"/>
  <c r="G49" i="124" s="1"/>
  <c r="I49" i="124" s="1"/>
  <c r="F48" i="124"/>
  <c r="J48" i="124" s="1"/>
  <c r="F47" i="124"/>
  <c r="J47" i="124" s="1"/>
  <c r="F46" i="124"/>
  <c r="J46" i="124" s="1"/>
  <c r="F45" i="124"/>
  <c r="G45" i="124" s="1"/>
  <c r="I45" i="124" s="1"/>
  <c r="F44" i="124"/>
  <c r="J44" i="124" s="1"/>
  <c r="F43" i="124"/>
  <c r="J43" i="124" s="1"/>
  <c r="F42" i="124"/>
  <c r="J42" i="124" s="1"/>
  <c r="F41" i="124"/>
  <c r="G41" i="124" s="1"/>
  <c r="I41" i="124" s="1"/>
  <c r="F40" i="124"/>
  <c r="J40" i="124" s="1"/>
  <c r="F39" i="124"/>
  <c r="G39" i="124" s="1"/>
  <c r="I39" i="124" s="1"/>
  <c r="J38" i="124"/>
  <c r="F37" i="124"/>
  <c r="G37" i="124" s="1"/>
  <c r="I37" i="124" s="1"/>
  <c r="F36" i="124"/>
  <c r="J36" i="124" s="1"/>
  <c r="F35" i="124"/>
  <c r="G35" i="124" s="1"/>
  <c r="I35" i="124" s="1"/>
  <c r="F34" i="124"/>
  <c r="J34" i="124" s="1"/>
  <c r="F33" i="124"/>
  <c r="G33" i="124" s="1"/>
  <c r="I33" i="124" s="1"/>
  <c r="F32" i="124"/>
  <c r="J32" i="124" s="1"/>
  <c r="F31" i="124"/>
  <c r="G31" i="124" s="1"/>
  <c r="I31" i="124" s="1"/>
  <c r="F30" i="124"/>
  <c r="J30" i="124" s="1"/>
  <c r="F29" i="124"/>
  <c r="G29" i="124" s="1"/>
  <c r="I29" i="124" s="1"/>
  <c r="F28" i="124"/>
  <c r="J28" i="124" s="1"/>
  <c r="F27" i="124"/>
  <c r="G27" i="124" s="1"/>
  <c r="I27" i="124" s="1"/>
  <c r="C26" i="124"/>
  <c r="C16" i="120" s="1"/>
  <c r="F25" i="124"/>
  <c r="J25" i="124" s="1"/>
  <c r="K25" i="124" s="1"/>
  <c r="F24" i="124"/>
  <c r="G24" i="124" s="1"/>
  <c r="I24" i="124" s="1"/>
  <c r="F23" i="124"/>
  <c r="J23" i="124" s="1"/>
  <c r="K23" i="124" s="1"/>
  <c r="F22" i="124"/>
  <c r="G22" i="124" s="1"/>
  <c r="I22" i="124" s="1"/>
  <c r="F21" i="124"/>
  <c r="G21" i="124" s="1"/>
  <c r="I21" i="124" s="1"/>
  <c r="F20" i="124"/>
  <c r="G20" i="124" s="1"/>
  <c r="I20" i="124" s="1"/>
  <c r="F19" i="124"/>
  <c r="J19" i="124" s="1"/>
  <c r="K19" i="124" s="1"/>
  <c r="F18" i="124"/>
  <c r="G18" i="124" s="1"/>
  <c r="I18" i="124" s="1"/>
  <c r="F17" i="124"/>
  <c r="G17" i="124" s="1"/>
  <c r="I17" i="124" s="1"/>
  <c r="F16" i="124"/>
  <c r="G16" i="124" s="1"/>
  <c r="I16" i="124" s="1"/>
  <c r="F15" i="124"/>
  <c r="J15" i="124" s="1"/>
  <c r="H14" i="124"/>
  <c r="H15" i="120" s="1"/>
  <c r="E14" i="124"/>
  <c r="E15" i="120" s="1"/>
  <c r="D14" i="124"/>
  <c r="D15" i="120" s="1"/>
  <c r="C14" i="124"/>
  <c r="C15" i="120" s="1"/>
  <c r="F12" i="124"/>
  <c r="J12" i="124" s="1"/>
  <c r="F11" i="124"/>
  <c r="F10" i="124"/>
  <c r="J10" i="124" s="1"/>
  <c r="E14" i="120"/>
  <c r="F24" i="123"/>
  <c r="J24" i="123" s="1"/>
  <c r="F25" i="123"/>
  <c r="J25" i="123" s="1"/>
  <c r="K25" i="123" s="1"/>
  <c r="F26" i="123"/>
  <c r="G26" i="123" s="1"/>
  <c r="I26" i="123" s="1"/>
  <c r="F27" i="123"/>
  <c r="G27" i="123" s="1"/>
  <c r="I27" i="123" s="1"/>
  <c r="J27" i="123"/>
  <c r="K27" i="123" s="1"/>
  <c r="F28" i="123"/>
  <c r="J28" i="123" s="1"/>
  <c r="F29" i="123"/>
  <c r="G29" i="123" s="1"/>
  <c r="I29" i="123" s="1"/>
  <c r="F31" i="123"/>
  <c r="G31" i="123" s="1"/>
  <c r="F32" i="123"/>
  <c r="J32" i="123" s="1"/>
  <c r="F33" i="123"/>
  <c r="G33" i="123" s="1"/>
  <c r="I33" i="123" s="1"/>
  <c r="F34" i="123"/>
  <c r="G34" i="123" s="1"/>
  <c r="I34" i="123" s="1"/>
  <c r="F35" i="123"/>
  <c r="I35" i="123" s="1"/>
  <c r="F36" i="123"/>
  <c r="G36" i="123" s="1"/>
  <c r="I36" i="123" s="1"/>
  <c r="F37" i="123"/>
  <c r="G37" i="123" s="1"/>
  <c r="I37" i="123" s="1"/>
  <c r="F38" i="123"/>
  <c r="J38" i="123" s="1"/>
  <c r="F39" i="123"/>
  <c r="J39" i="123" s="1"/>
  <c r="K39" i="123" s="1"/>
  <c r="F41" i="123"/>
  <c r="I41" i="123" s="1"/>
  <c r="F42" i="123"/>
  <c r="F43" i="123"/>
  <c r="G43" i="123" s="1"/>
  <c r="I43" i="123" s="1"/>
  <c r="F44" i="123"/>
  <c r="J44" i="123" s="1"/>
  <c r="G44" i="123"/>
  <c r="I44" i="123" s="1"/>
  <c r="F23" i="123"/>
  <c r="J23" i="123" s="1"/>
  <c r="F22" i="123"/>
  <c r="G22" i="123" s="1"/>
  <c r="I22" i="123" s="1"/>
  <c r="F21" i="123"/>
  <c r="J21" i="123" s="1"/>
  <c r="F20" i="123"/>
  <c r="G20" i="123" s="1"/>
  <c r="I20" i="123" s="1"/>
  <c r="F19" i="123"/>
  <c r="J19" i="123" s="1"/>
  <c r="F18" i="123"/>
  <c r="F16" i="123"/>
  <c r="G16" i="123" s="1"/>
  <c r="I16" i="123" s="1"/>
  <c r="F15" i="123"/>
  <c r="J15" i="123" s="1"/>
  <c r="F14" i="123"/>
  <c r="G14" i="123" s="1"/>
  <c r="H11" i="123"/>
  <c r="E11" i="123"/>
  <c r="D11" i="123"/>
  <c r="F12" i="123"/>
  <c r="G12" i="123" s="1"/>
  <c r="F10" i="123"/>
  <c r="F9" i="123" s="1"/>
  <c r="F8" i="120" s="1"/>
  <c r="J45" i="124" l="1"/>
  <c r="K45" i="124" s="1"/>
  <c r="G78" i="124"/>
  <c r="I78" i="124" s="1"/>
  <c r="G68" i="124"/>
  <c r="I68" i="124" s="1"/>
  <c r="G82" i="124"/>
  <c r="I82" i="124" s="1"/>
  <c r="G112" i="124"/>
  <c r="I112" i="124" s="1"/>
  <c r="C7" i="120"/>
  <c r="J64" i="124"/>
  <c r="L64" i="124" s="1"/>
  <c r="G73" i="124"/>
  <c r="I73" i="124" s="1"/>
  <c r="G104" i="124"/>
  <c r="I104" i="124" s="1"/>
  <c r="G85" i="124"/>
  <c r="I85" i="124" s="1"/>
  <c r="G92" i="124"/>
  <c r="I92" i="124" s="1"/>
  <c r="K104" i="124"/>
  <c r="G75" i="124"/>
  <c r="I75" i="124" s="1"/>
  <c r="G81" i="124"/>
  <c r="I81" i="124" s="1"/>
  <c r="J57" i="124"/>
  <c r="K57" i="124" s="1"/>
  <c r="G94" i="124"/>
  <c r="I94" i="124" s="1"/>
  <c r="L88" i="124"/>
  <c r="K88" i="124"/>
  <c r="J49" i="124"/>
  <c r="K49" i="124" s="1"/>
  <c r="G65" i="124"/>
  <c r="I65" i="124" s="1"/>
  <c r="J67" i="124"/>
  <c r="K67" i="124" s="1"/>
  <c r="G69" i="124"/>
  <c r="I69" i="124" s="1"/>
  <c r="J71" i="124"/>
  <c r="K71" i="124" s="1"/>
  <c r="G79" i="124"/>
  <c r="I79" i="124" s="1"/>
  <c r="G83" i="124"/>
  <c r="I83" i="124" s="1"/>
  <c r="G84" i="124"/>
  <c r="I84" i="124" s="1"/>
  <c r="G88" i="124"/>
  <c r="I88" i="124" s="1"/>
  <c r="G89" i="124"/>
  <c r="I89" i="124" s="1"/>
  <c r="G90" i="124"/>
  <c r="I90" i="124" s="1"/>
  <c r="G100" i="124"/>
  <c r="I100" i="124" s="1"/>
  <c r="K112" i="124"/>
  <c r="K75" i="124"/>
  <c r="L75" i="124"/>
  <c r="K81" i="124"/>
  <c r="L81" i="124"/>
  <c r="K85" i="124"/>
  <c r="L85" i="124"/>
  <c r="L76" i="124"/>
  <c r="K76" i="124"/>
  <c r="K79" i="124"/>
  <c r="L79" i="124"/>
  <c r="J77" i="124"/>
  <c r="J87" i="124"/>
  <c r="G25" i="124"/>
  <c r="I25" i="124" s="1"/>
  <c r="J53" i="124"/>
  <c r="K53" i="124" s="1"/>
  <c r="J63" i="124"/>
  <c r="K63" i="124" s="1"/>
  <c r="G72" i="124"/>
  <c r="I72" i="124" s="1"/>
  <c r="G76" i="124"/>
  <c r="I76" i="124" s="1"/>
  <c r="J80" i="124"/>
  <c r="L80" i="124" s="1"/>
  <c r="L83" i="124"/>
  <c r="K84" i="124"/>
  <c r="L89" i="124"/>
  <c r="K100" i="124"/>
  <c r="G108" i="124"/>
  <c r="I108" i="124" s="1"/>
  <c r="J105" i="124"/>
  <c r="L105" i="124" s="1"/>
  <c r="J107" i="124"/>
  <c r="K108" i="124"/>
  <c r="J34" i="123"/>
  <c r="K34" i="123" s="1"/>
  <c r="G24" i="123"/>
  <c r="I24" i="123" s="1"/>
  <c r="J37" i="123"/>
  <c r="K37" i="123" s="1"/>
  <c r="G39" i="123"/>
  <c r="I39" i="123" s="1"/>
  <c r="J29" i="123"/>
  <c r="K29" i="123" s="1"/>
  <c r="G38" i="123"/>
  <c r="I38" i="123" s="1"/>
  <c r="G28" i="123"/>
  <c r="I28" i="123" s="1"/>
  <c r="J26" i="123"/>
  <c r="K26" i="123" s="1"/>
  <c r="G25" i="123"/>
  <c r="I25" i="123" s="1"/>
  <c r="K44" i="123"/>
  <c r="N44" i="123"/>
  <c r="O44" i="123" s="1"/>
  <c r="J33" i="123"/>
  <c r="K33" i="123" s="1"/>
  <c r="L29" i="123"/>
  <c r="J36" i="123"/>
  <c r="K36" i="123" s="1"/>
  <c r="K38" i="123"/>
  <c r="L38" i="123"/>
  <c r="J31" i="123"/>
  <c r="L31" i="123" s="1"/>
  <c r="L27" i="123"/>
  <c r="G32" i="123"/>
  <c r="I32" i="123" s="1"/>
  <c r="K96" i="124"/>
  <c r="F9" i="124"/>
  <c r="F14" i="120" s="1"/>
  <c r="C13" i="120"/>
  <c r="C18" i="120" s="1"/>
  <c r="C114" i="124"/>
  <c r="J93" i="124"/>
  <c r="K93" i="124" s="1"/>
  <c r="G19" i="124"/>
  <c r="I19" i="124" s="1"/>
  <c r="J97" i="124"/>
  <c r="L97" i="124" s="1"/>
  <c r="J12" i="123"/>
  <c r="G86" i="124"/>
  <c r="I86" i="124" s="1"/>
  <c r="L44" i="124"/>
  <c r="K44" i="124"/>
  <c r="K47" i="124"/>
  <c r="L47" i="124"/>
  <c r="L60" i="124"/>
  <c r="K60" i="124"/>
  <c r="L48" i="124"/>
  <c r="K48" i="124"/>
  <c r="K12" i="124"/>
  <c r="L12" i="124"/>
  <c r="L52" i="124"/>
  <c r="K52" i="124"/>
  <c r="K43" i="124"/>
  <c r="L43" i="124"/>
  <c r="L56" i="124"/>
  <c r="K56" i="124"/>
  <c r="G43" i="124"/>
  <c r="I43" i="124" s="1"/>
  <c r="G47" i="124"/>
  <c r="I47" i="124" s="1"/>
  <c r="L49" i="124"/>
  <c r="G62" i="124"/>
  <c r="I62" i="124" s="1"/>
  <c r="G66" i="124"/>
  <c r="I66" i="124" s="1"/>
  <c r="G70" i="124"/>
  <c r="I70" i="124" s="1"/>
  <c r="G12" i="124"/>
  <c r="I12" i="124" s="1"/>
  <c r="J18" i="124"/>
  <c r="K18" i="124" s="1"/>
  <c r="L19" i="124"/>
  <c r="J21" i="124"/>
  <c r="G44" i="124"/>
  <c r="I44" i="124" s="1"/>
  <c r="G48" i="124"/>
  <c r="I48" i="124" s="1"/>
  <c r="G52" i="124"/>
  <c r="I52" i="124" s="1"/>
  <c r="G56" i="124"/>
  <c r="I56" i="124" s="1"/>
  <c r="G60" i="124"/>
  <c r="I60" i="124" s="1"/>
  <c r="G61" i="124"/>
  <c r="I61" i="124" s="1"/>
  <c r="L67" i="124"/>
  <c r="K68" i="124"/>
  <c r="K72" i="124"/>
  <c r="D13" i="120"/>
  <c r="J16" i="124"/>
  <c r="K16" i="124" s="1"/>
  <c r="G42" i="124"/>
  <c r="I42" i="124" s="1"/>
  <c r="G46" i="124"/>
  <c r="I46" i="124" s="1"/>
  <c r="G50" i="124"/>
  <c r="I50" i="124" s="1"/>
  <c r="J51" i="124"/>
  <c r="G54" i="124"/>
  <c r="I54" i="124" s="1"/>
  <c r="J55" i="124"/>
  <c r="G58" i="124"/>
  <c r="I58" i="124" s="1"/>
  <c r="J59" i="124"/>
  <c r="L65" i="124"/>
  <c r="L69" i="124"/>
  <c r="L73" i="124"/>
  <c r="L45" i="124"/>
  <c r="G74" i="124"/>
  <c r="I74" i="124" s="1"/>
  <c r="K24" i="123"/>
  <c r="L24" i="123"/>
  <c r="L61" i="124"/>
  <c r="G23" i="124"/>
  <c r="I23" i="124" s="1"/>
  <c r="J113" i="124"/>
  <c r="L113" i="124" s="1"/>
  <c r="L23" i="124"/>
  <c r="J17" i="124"/>
  <c r="K17" i="124" s="1"/>
  <c r="K15" i="124"/>
  <c r="L15" i="124"/>
  <c r="G15" i="124"/>
  <c r="I15" i="124" s="1"/>
  <c r="H13" i="120"/>
  <c r="H9" i="120"/>
  <c r="H7" i="120" s="1"/>
  <c r="H45" i="123"/>
  <c r="D9" i="120"/>
  <c r="D7" i="120" s="1"/>
  <c r="D45" i="123"/>
  <c r="K28" i="123"/>
  <c r="L28" i="123"/>
  <c r="E9" i="120"/>
  <c r="E7" i="120" s="1"/>
  <c r="E45" i="123"/>
  <c r="J35" i="123"/>
  <c r="J41" i="123"/>
  <c r="N41" i="123" s="1"/>
  <c r="O41" i="123" s="1"/>
  <c r="J22" i="124"/>
  <c r="K22" i="124" s="1"/>
  <c r="J24" i="124"/>
  <c r="K24" i="124" s="1"/>
  <c r="L25" i="124"/>
  <c r="F14" i="124"/>
  <c r="F15" i="120" s="1"/>
  <c r="J20" i="124"/>
  <c r="K10" i="124"/>
  <c r="L10" i="124"/>
  <c r="I10" i="124"/>
  <c r="E114" i="124"/>
  <c r="E13" i="120"/>
  <c r="F26" i="124"/>
  <c r="F16" i="120" s="1"/>
  <c r="F95" i="124"/>
  <c r="F17" i="120" s="1"/>
  <c r="J99" i="124"/>
  <c r="J43" i="123"/>
  <c r="F40" i="123"/>
  <c r="F12" i="120" s="1"/>
  <c r="K32" i="123"/>
  <c r="L32" i="123"/>
  <c r="J42" i="123"/>
  <c r="N42" i="123" s="1"/>
  <c r="O42" i="123" s="1"/>
  <c r="I12" i="123"/>
  <c r="G18" i="123"/>
  <c r="F17" i="123"/>
  <c r="G10" i="123"/>
  <c r="G15" i="123"/>
  <c r="I15" i="123" s="1"/>
  <c r="J20" i="123"/>
  <c r="K20" i="123" s="1"/>
  <c r="J10" i="123"/>
  <c r="J9" i="123" s="1"/>
  <c r="J18" i="123"/>
  <c r="K18" i="123" s="1"/>
  <c r="J22" i="123"/>
  <c r="I31" i="123"/>
  <c r="J14" i="123"/>
  <c r="L14" i="123" s="1"/>
  <c r="J16" i="123"/>
  <c r="L16" i="123" s="1"/>
  <c r="G19" i="123"/>
  <c r="I19" i="123" s="1"/>
  <c r="G21" i="123"/>
  <c r="I21" i="123" s="1"/>
  <c r="G23" i="123"/>
  <c r="I23" i="123" s="1"/>
  <c r="F30" i="123"/>
  <c r="F11" i="120" s="1"/>
  <c r="J11" i="124"/>
  <c r="J9" i="124" s="1"/>
  <c r="L9" i="124" s="1"/>
  <c r="H114" i="124"/>
  <c r="D114" i="124"/>
  <c r="L28" i="124"/>
  <c r="K28" i="124"/>
  <c r="L32" i="124"/>
  <c r="K32" i="124"/>
  <c r="L40" i="124"/>
  <c r="K40" i="124"/>
  <c r="L30" i="124"/>
  <c r="K30" i="124"/>
  <c r="L34" i="124"/>
  <c r="K34" i="124"/>
  <c r="L38" i="124"/>
  <c r="K38" i="124"/>
  <c r="L42" i="124"/>
  <c r="K42" i="124"/>
  <c r="L46" i="124"/>
  <c r="K46" i="124"/>
  <c r="L50" i="124"/>
  <c r="K50" i="124"/>
  <c r="L54" i="124"/>
  <c r="K54" i="124"/>
  <c r="L58" i="124"/>
  <c r="K58" i="124"/>
  <c r="L62" i="124"/>
  <c r="K62" i="124"/>
  <c r="L66" i="124"/>
  <c r="K66" i="124"/>
  <c r="L70" i="124"/>
  <c r="K70" i="124"/>
  <c r="L74" i="124"/>
  <c r="K74" i="124"/>
  <c r="L78" i="124"/>
  <c r="K78" i="124"/>
  <c r="L82" i="124"/>
  <c r="K82" i="124"/>
  <c r="L86" i="124"/>
  <c r="K86" i="124"/>
  <c r="L36" i="124"/>
  <c r="K36" i="124"/>
  <c r="L93" i="124"/>
  <c r="L98" i="124"/>
  <c r="J101" i="124"/>
  <c r="L106" i="124"/>
  <c r="J109" i="124"/>
  <c r="J27" i="124"/>
  <c r="G28" i="124"/>
  <c r="I28" i="124" s="1"/>
  <c r="J29" i="124"/>
  <c r="G30" i="124"/>
  <c r="I30" i="124" s="1"/>
  <c r="J31" i="124"/>
  <c r="G32" i="124"/>
  <c r="I32" i="124" s="1"/>
  <c r="J33" i="124"/>
  <c r="G34" i="124"/>
  <c r="I34" i="124" s="1"/>
  <c r="J35" i="124"/>
  <c r="G36" i="124"/>
  <c r="I36" i="124" s="1"/>
  <c r="J37" i="124"/>
  <c r="G38" i="124"/>
  <c r="I38" i="124" s="1"/>
  <c r="J39" i="124"/>
  <c r="G40" i="124"/>
  <c r="I40" i="124" s="1"/>
  <c r="J41" i="124"/>
  <c r="J91" i="124"/>
  <c r="K91" i="124" s="1"/>
  <c r="L94" i="124"/>
  <c r="G98" i="124"/>
  <c r="I98" i="124" s="1"/>
  <c r="K102" i="124"/>
  <c r="J103" i="124"/>
  <c r="G106" i="124"/>
  <c r="I106" i="124" s="1"/>
  <c r="K110" i="124"/>
  <c r="J111" i="124"/>
  <c r="L92" i="124"/>
  <c r="K97" i="124"/>
  <c r="G102" i="124"/>
  <c r="I102" i="124" s="1"/>
  <c r="G110" i="124"/>
  <c r="I110" i="124" s="1"/>
  <c r="I14" i="123"/>
  <c r="K15" i="123"/>
  <c r="L15" i="123"/>
  <c r="K19" i="123"/>
  <c r="L19" i="123"/>
  <c r="K21" i="123"/>
  <c r="L21" i="123"/>
  <c r="K23" i="123"/>
  <c r="L23" i="123"/>
  <c r="K64" i="124" l="1"/>
  <c r="L57" i="124"/>
  <c r="K105" i="124"/>
  <c r="L71" i="124"/>
  <c r="K12" i="123"/>
  <c r="J11" i="123"/>
  <c r="L12" i="123"/>
  <c r="L43" i="123"/>
  <c r="J40" i="123"/>
  <c r="L63" i="124"/>
  <c r="K87" i="124"/>
  <c r="L87" i="124"/>
  <c r="I95" i="124"/>
  <c r="I17" i="120" s="1"/>
  <c r="L53" i="124"/>
  <c r="K80" i="124"/>
  <c r="K77" i="124"/>
  <c r="L77" i="124"/>
  <c r="L107" i="124"/>
  <c r="K107" i="124"/>
  <c r="K31" i="123"/>
  <c r="K16" i="123"/>
  <c r="G30" i="123"/>
  <c r="G11" i="120" s="1"/>
  <c r="J30" i="123"/>
  <c r="L30" i="123" s="1"/>
  <c r="L11" i="120" s="1"/>
  <c r="I30" i="123"/>
  <c r="I11" i="120" s="1"/>
  <c r="L36" i="123"/>
  <c r="L33" i="123"/>
  <c r="I11" i="124"/>
  <c r="I9" i="124" s="1"/>
  <c r="I14" i="120" s="1"/>
  <c r="G9" i="124"/>
  <c r="G14" i="120" s="1"/>
  <c r="D18" i="120"/>
  <c r="G95" i="124"/>
  <c r="G17" i="120" s="1"/>
  <c r="K43" i="123"/>
  <c r="N43" i="123"/>
  <c r="I26" i="124"/>
  <c r="I16" i="120" s="1"/>
  <c r="K51" i="124"/>
  <c r="L51" i="124"/>
  <c r="J26" i="124"/>
  <c r="J16" i="120" s="1"/>
  <c r="L18" i="124"/>
  <c r="G26" i="124"/>
  <c r="G16" i="120" s="1"/>
  <c r="K55" i="124"/>
  <c r="L55" i="124"/>
  <c r="K21" i="124"/>
  <c r="L21" i="124"/>
  <c r="L16" i="124"/>
  <c r="I14" i="124"/>
  <c r="I15" i="120" s="1"/>
  <c r="K59" i="124"/>
  <c r="L59" i="124"/>
  <c r="K113" i="124"/>
  <c r="L17" i="124"/>
  <c r="G14" i="124"/>
  <c r="G15" i="120" s="1"/>
  <c r="H18" i="120"/>
  <c r="E18" i="120"/>
  <c r="F11" i="123"/>
  <c r="F9" i="120" s="1"/>
  <c r="F10" i="120"/>
  <c r="K35" i="123"/>
  <c r="K30" i="123" s="1"/>
  <c r="K11" i="120" s="1"/>
  <c r="L35" i="123"/>
  <c r="K41" i="123"/>
  <c r="L41" i="123"/>
  <c r="L22" i="124"/>
  <c r="L24" i="124"/>
  <c r="F13" i="120"/>
  <c r="K20" i="124"/>
  <c r="J14" i="124"/>
  <c r="L20" i="124"/>
  <c r="L99" i="124"/>
  <c r="K99" i="124"/>
  <c r="F114" i="124"/>
  <c r="J95" i="124"/>
  <c r="I42" i="123"/>
  <c r="I40" i="123" s="1"/>
  <c r="G40" i="123"/>
  <c r="K42" i="123"/>
  <c r="L42" i="123"/>
  <c r="L10" i="123"/>
  <c r="J8" i="120"/>
  <c r="K10" i="123"/>
  <c r="K9" i="123" s="1"/>
  <c r="K8" i="120" s="1"/>
  <c r="I18" i="123"/>
  <c r="I17" i="123" s="1"/>
  <c r="G17" i="123"/>
  <c r="K22" i="123"/>
  <c r="K17" i="123" s="1"/>
  <c r="K10" i="120" s="1"/>
  <c r="K14" i="123"/>
  <c r="J17" i="123"/>
  <c r="I10" i="123"/>
  <c r="I9" i="123" s="1"/>
  <c r="I8" i="120" s="1"/>
  <c r="G9" i="123"/>
  <c r="G8" i="120" s="1"/>
  <c r="K11" i="124"/>
  <c r="L11" i="124"/>
  <c r="L103" i="124"/>
  <c r="K103" i="124"/>
  <c r="L39" i="124"/>
  <c r="K39" i="124"/>
  <c r="L35" i="124"/>
  <c r="K35" i="124"/>
  <c r="L31" i="124"/>
  <c r="K31" i="124"/>
  <c r="L27" i="124"/>
  <c r="K27" i="124"/>
  <c r="L101" i="124"/>
  <c r="K101" i="124"/>
  <c r="K41" i="124"/>
  <c r="L41" i="124"/>
  <c r="L37" i="124"/>
  <c r="K37" i="124"/>
  <c r="L33" i="124"/>
  <c r="K33" i="124"/>
  <c r="L29" i="124"/>
  <c r="K29" i="124"/>
  <c r="L109" i="124"/>
  <c r="K109" i="124"/>
  <c r="L111" i="124"/>
  <c r="K111" i="124"/>
  <c r="J45" i="123" l="1"/>
  <c r="J64" i="123" s="1"/>
  <c r="J65" i="123" s="1"/>
  <c r="J11" i="120"/>
  <c r="L9" i="123"/>
  <c r="L8" i="120" s="1"/>
  <c r="K14" i="124"/>
  <c r="K15" i="120" s="1"/>
  <c r="K9" i="124"/>
  <c r="K14" i="120" s="1"/>
  <c r="K95" i="124"/>
  <c r="K17" i="120" s="1"/>
  <c r="K40" i="123"/>
  <c r="K12" i="120" s="1"/>
  <c r="L26" i="124"/>
  <c r="L16" i="120" s="1"/>
  <c r="O43" i="123"/>
  <c r="O45" i="123" s="1"/>
  <c r="N45" i="123"/>
  <c r="I13" i="120"/>
  <c r="I114" i="124"/>
  <c r="G13" i="120"/>
  <c r="K26" i="124"/>
  <c r="K16" i="120" s="1"/>
  <c r="F7" i="120"/>
  <c r="F18" i="120" s="1"/>
  <c r="G114" i="124"/>
  <c r="F45" i="123"/>
  <c r="G11" i="123"/>
  <c r="G9" i="120" s="1"/>
  <c r="G10" i="120"/>
  <c r="L17" i="123"/>
  <c r="L10" i="120" s="1"/>
  <c r="J10" i="120"/>
  <c r="I11" i="123"/>
  <c r="I9" i="120" s="1"/>
  <c r="I10" i="120"/>
  <c r="K11" i="123"/>
  <c r="K9" i="120" s="1"/>
  <c r="L14" i="124"/>
  <c r="L15" i="120" s="1"/>
  <c r="J15" i="120"/>
  <c r="L14" i="120"/>
  <c r="J14" i="120"/>
  <c r="J17" i="120"/>
  <c r="L95" i="124"/>
  <c r="L17" i="120" s="1"/>
  <c r="G12" i="120"/>
  <c r="I12" i="120"/>
  <c r="J12" i="120"/>
  <c r="L40" i="123"/>
  <c r="L12" i="120" s="1"/>
  <c r="J114" i="124"/>
  <c r="J132" i="124" l="1"/>
  <c r="J133" i="124" s="1"/>
  <c r="V4" i="126"/>
  <c r="K13" i="120"/>
  <c r="I45" i="123"/>
  <c r="K114" i="124"/>
  <c r="I7" i="120"/>
  <c r="I18" i="120" s="1"/>
  <c r="G7" i="120"/>
  <c r="G18" i="120" s="1"/>
  <c r="K45" i="123"/>
  <c r="K7" i="120"/>
  <c r="G45" i="123"/>
  <c r="J13" i="120"/>
  <c r="L114" i="124"/>
  <c r="Y6" i="140" l="1"/>
  <c r="Y6" i="139"/>
  <c r="Y6" i="137"/>
  <c r="Y6" i="138"/>
  <c r="Y6" i="141"/>
  <c r="AG6" i="134"/>
  <c r="X6" i="133"/>
  <c r="AB13" i="126"/>
  <c r="AB12" i="126"/>
  <c r="L13" i="120"/>
  <c r="X6" i="132"/>
  <c r="V4" i="125"/>
  <c r="K18" i="120"/>
  <c r="L11" i="123"/>
  <c r="L9" i="120" s="1"/>
  <c r="J9" i="120"/>
  <c r="J7" i="120" s="1"/>
  <c r="L7" i="120" s="1"/>
  <c r="AG6" i="133" l="1"/>
  <c r="AK15" i="133" s="1"/>
  <c r="AK14" i="133"/>
  <c r="AP6" i="134"/>
  <c r="AT15" i="134" s="1"/>
  <c r="AT14" i="134"/>
  <c r="AL14" i="141"/>
  <c r="AH6" i="141"/>
  <c r="AL15" i="141" s="1"/>
  <c r="AL14" i="138"/>
  <c r="AH6" i="138"/>
  <c r="AL15" i="138" s="1"/>
  <c r="AH6" i="137"/>
  <c r="AL15" i="137" s="1"/>
  <c r="AL14" i="137"/>
  <c r="AL14" i="139"/>
  <c r="AH6" i="139"/>
  <c r="AL15" i="139" s="1"/>
  <c r="AL14" i="140"/>
  <c r="AH6" i="140"/>
  <c r="AL15" i="140" s="1"/>
  <c r="AG6" i="132"/>
  <c r="AK15" i="132" s="1"/>
  <c r="AK14" i="132"/>
  <c r="AE4" i="125"/>
  <c r="AI13" i="125" s="1"/>
  <c r="AI12" i="125"/>
  <c r="N9" i="123"/>
  <c r="N10" i="123" s="1"/>
  <c r="L45" i="123"/>
  <c r="J18" i="120"/>
  <c r="L18" i="120" s="1"/>
</calcChain>
</file>

<file path=xl/sharedStrings.xml><?xml version="1.0" encoding="utf-8"?>
<sst xmlns="http://schemas.openxmlformats.org/spreadsheetml/2006/main" count="6842" uniqueCount="1304">
  <si>
    <t>s'n hDdf</t>
  </si>
  <si>
    <t>ah]^ cg"bfg jf pkzLif{s gDa/M</t>
  </si>
  <si>
    <t>ah]^ zLif{s jf pkzLif{ssf] gfdM</t>
  </si>
  <si>
    <t>जलश्रोत तथा सिंचाई विकास डिभिजन</t>
  </si>
  <si>
    <t>खाँदबारी संखुवासभा</t>
  </si>
  <si>
    <t xml:space="preserve">योजनाको भुक्तानि रकम </t>
  </si>
  <si>
    <t>aflif{s lalgof]hg ?=</t>
  </si>
  <si>
    <t>&amp;]s]bf/</t>
  </si>
  <si>
    <t>hDdf vr{</t>
  </si>
  <si>
    <t>hDdf s^\^L</t>
  </si>
  <si>
    <t>vr{ ePsf]</t>
  </si>
  <si>
    <t xml:space="preserve">af+sL </t>
  </si>
  <si>
    <t>v"b vr{</t>
  </si>
  <si>
    <t>af+sL /sd ?=</t>
  </si>
  <si>
    <t>l;=g+=</t>
  </si>
  <si>
    <t>of]hgf sfo{qmdsf] gfd</t>
  </si>
  <si>
    <t>k'+hLut vr{</t>
  </si>
  <si>
    <t>p=;=</t>
  </si>
  <si>
    <t>स्यावा खोला सिंचाई योजना चैनपुर न.पा. १ र २</t>
  </si>
  <si>
    <t>अरुण नदि नियन्त्रण</t>
  </si>
  <si>
    <t>हेवा खोला नियन्त्रण</t>
  </si>
  <si>
    <t>नदि नियन्त्रण</t>
  </si>
  <si>
    <t>;+#Lo tkm{sf] ah]^ hDdf</t>
  </si>
  <si>
    <t>k|b]z tkm{sf] hDdf - demf}nf / gof+ k|ljlw _</t>
  </si>
  <si>
    <t>laQLo k|utL k|ltzt</t>
  </si>
  <si>
    <t>laQLo k|ult</t>
  </si>
  <si>
    <t>जलस्रोत तथा सिंचाइ विकास डिभिजन</t>
  </si>
  <si>
    <t>क</t>
  </si>
  <si>
    <t>अन्य पूँजीगत कार्यक्रम</t>
  </si>
  <si>
    <t xml:space="preserve">योजना पहिचान गर्ने कार्य </t>
  </si>
  <si>
    <t xml:space="preserve">विस्तृत सर्भेक्षण डिजाइन आदि कार्य </t>
  </si>
  <si>
    <t>ख</t>
  </si>
  <si>
    <t>जलउत्पन्न प्रकोप ब्यवस्थापन तथा नदि नियन्त्रण</t>
  </si>
  <si>
    <t>टुटेखोला सिमलडाँडा आम्बोटे पहिरो निन्त्रण धर्मदेबी ४</t>
  </si>
  <si>
    <t>मार्सेभिर ढुम्रेबेँसी पहिरो नियन्त्रण धर्मदेबी ४</t>
  </si>
  <si>
    <t xml:space="preserve">हिमालय किरण क्याम्पस खेलमैदान व्यवस्थापन खाँदबारी </t>
  </si>
  <si>
    <t>त्रिवेणी उ मा बि खेलमैदान संरक्षण सभापोखरी गा पा</t>
  </si>
  <si>
    <t>राम मन्दिर परिषर संरक्षण मादी मायाखोला र पिलुवा खोला नियन्त्रण</t>
  </si>
  <si>
    <t>महेन्द्र मा बि जग्गा तथा खेलमैदान संरक्षण खाँदबारी न पा</t>
  </si>
  <si>
    <t>मनकामना मन्दिर संरक्षण कार्य खाँदबारी न पा ११</t>
  </si>
  <si>
    <t>स्थानीय तहको लागी पहिरो नियन्त्रण सम्बन्धी कार्य</t>
  </si>
  <si>
    <t>तारजाली खरिद तथा आपतकालीन कार्य</t>
  </si>
  <si>
    <t>ग</t>
  </si>
  <si>
    <t xml:space="preserve">मझौला सिंचाई योजना </t>
  </si>
  <si>
    <t xml:space="preserve">डुङडुङे डडेली फोहोरा सिंचाइ योजना चैनपुर १ </t>
  </si>
  <si>
    <t>कुशुवा खोला नागदह सिंचाइ योजना स्याबुन</t>
  </si>
  <si>
    <t>लाहाचुङ सिंचाइ योजना आँखिभुई</t>
  </si>
  <si>
    <t>ओसाक खोला सिंचाइ योजना सिध्दकाली</t>
  </si>
  <si>
    <t>मान्द्रे खोला तेर्से सामाताङ्गे कुलो सिंचाइ योजना आँखिभुई</t>
  </si>
  <si>
    <t>तल्लोसाहुटार सिंचाइ योजना चैनपुर ८</t>
  </si>
  <si>
    <t>चिङ्खुवा खोला बिहिबारे सिंचाइ योजना जलजला ७ र ८</t>
  </si>
  <si>
    <t>झुत्रा तपुवा खोला सिंचाइ योजना चैनपुर ४-७</t>
  </si>
  <si>
    <t xml:space="preserve">बाघा खोला मुहानभई ढाँडेगाउँ सिमारी पुलुङ्ग सिंचाइ योजना </t>
  </si>
  <si>
    <t>काली खोला सिंचाइ योजना सिलिचुङ २</t>
  </si>
  <si>
    <t xml:space="preserve">चेवा खोला सिंचाइ उप-आयोजना खाँदबारी </t>
  </si>
  <si>
    <t>रयालेबेँसी सिंचाइ योजना खाँदबारी ८</t>
  </si>
  <si>
    <t>मुलुवा खोला रुपने सिंचाइ योजना आँखीभुई ७</t>
  </si>
  <si>
    <t>मेटेमारा ढाँडकुलो सिंचाइ योजना धर्मदेबी २</t>
  </si>
  <si>
    <t>मारनी ढाँडकुलो सिंचाइ योजना धर्मदेबी २</t>
  </si>
  <si>
    <t>ठुटेखोला ढुम्रेबेँसी भिरकुलो सिंचाइ योजना धर्मदेबी ४</t>
  </si>
  <si>
    <t>टुटेखोला याखाचोक छेउहुँदै च्यानडाँडा हुर्पाबेँसी कुलो सिंचाइ योजना धर्मदेबी ४</t>
  </si>
  <si>
    <t>ठुटेखोला पित्लाङबेँसी जाने कुलो सिंचाइ योजना धर्मदेबी ४</t>
  </si>
  <si>
    <t>माम्लिङ सल्ले पुछार तिरतिरे कुलो धर्मदेबी ४</t>
  </si>
  <si>
    <t xml:space="preserve">बेरबोटी खोलामा पक्की बाँध निर्माण </t>
  </si>
  <si>
    <t>मेटेमारा मिखिलिङ सिंचाइ योजना धर्मदेबी २</t>
  </si>
  <si>
    <t xml:space="preserve">बेस्कु खोला सिंचाइ योजना </t>
  </si>
  <si>
    <t>जोर खोला सिंचाइ योजना मकालु ३</t>
  </si>
  <si>
    <t>साङजु खोला राजकुलो सिंचाइ योजना भोटखोला ३ हटिया</t>
  </si>
  <si>
    <t>साक्मा सिंचाइ उप-योजना आँखीभुई ९</t>
  </si>
  <si>
    <t>केवा खोला फितुवा मालीभेग सिंचाइ उप-योजना आँखीभुई ९</t>
  </si>
  <si>
    <t>केवा बेँसी सिंचाइ योजना केवाबेँसी धर्मदेबी</t>
  </si>
  <si>
    <t>मइम कुलो सिंचाइ उप-योजना माम्लिङ धर्मदेबी</t>
  </si>
  <si>
    <t>खावा खोला चौंरीखर्क सिंचाइ योजना पाँचखपन ९</t>
  </si>
  <si>
    <t>चिङ्खुवा खोला खोल्सी सिंचाइ योजना ताम्कु ३</t>
  </si>
  <si>
    <t>एकुवा खोला कुलो सिंचाइ योजना थाक्राम फेदी मकालु</t>
  </si>
  <si>
    <t>चाङम्राङ खोला सेलावान कुलो सिंचाइ योजना धर्मदेबी ५</t>
  </si>
  <si>
    <t>पाडरे नाकेडाँडा सिंचाइ योजना धर्मदेबी 8</t>
  </si>
  <si>
    <t>अलैंचीबारी सिंचाई योजना खाँदबारी ५</t>
  </si>
  <si>
    <t>देउराली सिंचाई उप-योजना सभापोखरी १</t>
  </si>
  <si>
    <t>चाम्राङ खोला ओखरबोटे डाँडा सिंचाई योजना धर्मदेबी ५</t>
  </si>
  <si>
    <t>भालुखोप सिंचाई योजना धर्मदेबी २</t>
  </si>
  <si>
    <t>डुङडुङे खोला सिरिङ डाँडागाउँ सिंचाई योजना चैनपुर १</t>
  </si>
  <si>
    <t>ठाडे खोला सिंचाई योजना मादी ८</t>
  </si>
  <si>
    <t>डुँडवारी सिंचाई योजना धर्मदेबी ३</t>
  </si>
  <si>
    <t>टुनिबोटे खोक्लिङ अलैंचीबारी सल्ले सिंचाई योजना धर्मदेबी ३</t>
  </si>
  <si>
    <t>कुमाल्नी खोला बाइसझोरे सिंचाई योजना धर्मदेबी ३</t>
  </si>
  <si>
    <t>थिङ्खुवा खोला सिंचाई योजना ताम्कु २ पाङ्तीम</t>
  </si>
  <si>
    <t>कुशुवा खोला सिंचाई योजना पाँचखपन न पा १</t>
  </si>
  <si>
    <t>अग्राखे सिंचाई योजना खाँदबारी न पा ६</t>
  </si>
  <si>
    <t>हाङ्दुवा खोला सिंचाई योजना पाँचखपन न पा २</t>
  </si>
  <si>
    <t>सुनपानी सिंचाई योजना पाँचखपन न पा १</t>
  </si>
  <si>
    <t>ठाडेखोला मुहानगरी स्याबुन सिंचाई योजना पाँचखपन न पा २</t>
  </si>
  <si>
    <t>देबीथान देखि चुलाचुली सम्म पक्की कुलो निर्माण पाँचखपन १</t>
  </si>
  <si>
    <t>कुशुवा खोला मुहानगरी सिम्लेनिपाने तल्लो सिंचाई योजना पाँचखपन १</t>
  </si>
  <si>
    <t>कुशुवा खोला मुहानगरी कैंजले मुडे सिंचाई योजना पाँचखपन १</t>
  </si>
  <si>
    <t>पाँमा खोला बडरेनी सिंचाई योजना खाँदबारी ५</t>
  </si>
  <si>
    <t xml:space="preserve">महाँबिर खोला करेसाबारी सिंचाई योजना धर्मदेबी तल्लो </t>
  </si>
  <si>
    <t>बोक्ताङ कुलो सिंचाई योजना सिलिचोङ</t>
  </si>
  <si>
    <t>दोभाने मुहानगरी हलेदे सेराबेँसी भैंसे पिप्लेटार सिंचाई योजना पाँचखपन न पा</t>
  </si>
  <si>
    <t>भालुखोप नयाँ कुलो निर्माण योजना धर्मदेबी २</t>
  </si>
  <si>
    <t>एक्लेबेँसी टुँडीखेल खमारेदेबी घरसिम्ले हलेदे बेँसी सिंचाई योजना पाँचखपन न पा ५</t>
  </si>
  <si>
    <t>चिङ्खुवा खोला मुहान गरी चोरचौकी बनाउन मुलकुलो सिंचाइ योजना जलजला ८</t>
  </si>
  <si>
    <t>केवा अँधेरी बाँसघारी करफोक फितुवा मालीभेग कुलो सिंचाइ योजना धर्मदेबी ९</t>
  </si>
  <si>
    <t>साहुटार सिंचाई योजना चैनपुर ८</t>
  </si>
  <si>
    <t>तल्लो चिङ्खुवा सिंचाई योजना पाँचखपन ८ जलजला</t>
  </si>
  <si>
    <t>भालु खोला सिंचाई योजना खाँदबारी न पा १०</t>
  </si>
  <si>
    <t xml:space="preserve">बेतेनी खोला सिंचाई योजना खाँदबारी न पा </t>
  </si>
  <si>
    <t xml:space="preserve">माया खोला माम्लिङ हुँदै आँखिभुईं सिंचाई योजना </t>
  </si>
  <si>
    <t>पाङ्मा खोला तथा पिरिमा कुलो संयुक्त सिंचाई प्रणाली खाँदबारी ७</t>
  </si>
  <si>
    <t>योगीडाँडा पाँठा माल्टा खोला खिप्रिङ पुच्छार मुहान खा न पा ६</t>
  </si>
  <si>
    <t>राजकुलो सिंचाई निर्माण खाँदबारी ११</t>
  </si>
  <si>
    <t>4 k|ltzt sG^]Gh]G;Lsf] lx;fa</t>
  </si>
  <si>
    <t>घ</t>
  </si>
  <si>
    <t>नयाँ प्रबिधिमा आधारित सिंचाई योजना</t>
  </si>
  <si>
    <t>साँधने बोजेनीमा पोखरी निर्माण धर्मदेबी न पा</t>
  </si>
  <si>
    <t>नेवारगाउँ लिफ्ट सिंचाई योजना खाँदबारी ९</t>
  </si>
  <si>
    <t>सापमारे छाङ्गे फोहोरा सिंचाई योजना चैनपुर १</t>
  </si>
  <si>
    <t>पाँमा खोला फोहोरा सिंचाई योजना खाँदबारी ५</t>
  </si>
  <si>
    <t>गुरुङगाउँ फोहोरा सिंचाई योजना खाँदबारी ५</t>
  </si>
  <si>
    <t>पाँठा कामधेनु फोहोरा सिंचाई योजना खाँदबारी ५</t>
  </si>
  <si>
    <t>घोरेटार गैरीगाउँ सोलार लिफ्ट योजना चैनपुर</t>
  </si>
  <si>
    <t>बरगाछी रानागाउँ सिंचाई योजना चैनपुर 11</t>
  </si>
  <si>
    <t>अरुण खोला रयालेबेँसी सिंचाई योजना खाँदबारी ८</t>
  </si>
  <si>
    <t>तुम्लिङटार सिंचाई प्रणाली निर्माण साँघुरी टोलविकास संस्था</t>
  </si>
  <si>
    <t>तुम्लिङटार सिंचाई प्रणाली निर्माण मकालु टोलविकास संस्था</t>
  </si>
  <si>
    <t>तुम्लिङटार सिंचाई प्रणाली निर्माण मंगलादेबी टोलविकास संस्था</t>
  </si>
  <si>
    <t>तुम्लिङटार सिंचाई प्रणाली निर्माण हलिदे टोलविकास संस्था</t>
  </si>
  <si>
    <t>तुम्लिङटार सिंचाई प्रणाली निर्माण बैद्यगाउँ टोलविकास संस्था</t>
  </si>
  <si>
    <t xml:space="preserve">हानीमार आरुबोटे सिंचाई योजना खाँदबारी ३ सिंचाई प्रणाली निर्माण </t>
  </si>
  <si>
    <t>खेकुवा खोला मुहान गरी आरुबोटे डुम्रे बतासे सिंचाई योजना चैनपुर ४</t>
  </si>
  <si>
    <t>लेलुवा फोहोरा सिंचाई योजना खाँदबारी ५</t>
  </si>
  <si>
    <t xml:space="preserve">पाँमा खोला मुहान भई अलैंचीबारी तल्लोमाल्टा सिंचाई कुलो स्तरोन्नती खाँदबारी </t>
  </si>
  <si>
    <t>ङ</t>
  </si>
  <si>
    <t>मर्मत सम्भार आयोजनाहरु</t>
  </si>
  <si>
    <t>धर्मदेबी न पा ८ पाडरे नाकेडाँडा सिंचाई प्रणाली निर्माण</t>
  </si>
  <si>
    <t>खेकुवा खोला पहिरो व्यवस्थापन कार्य</t>
  </si>
  <si>
    <t>आपतकालीन तथा बाढी पहिरो पुनस्थापना कार्यहरु</t>
  </si>
  <si>
    <t>डाँडेगौडा तेर्से लाइन पहिरो नियन्त्रण चैनपुर ६</t>
  </si>
  <si>
    <t>स्यावा खोला सिंचाइ योजना चैनपुर १ र ३</t>
  </si>
  <si>
    <t>कुशुवा खोला नागदह सिंचाइ योजना स्याबुन ८</t>
  </si>
  <si>
    <t xml:space="preserve">मासे खोला मुहान गरी त्रिसुल सिंचाइ योजना </t>
  </si>
  <si>
    <t>ओसाक खोला सिंचाइ योजना सिध्दकाली १ र २</t>
  </si>
  <si>
    <t>तल्लोसाहुटार सिंचाइ योजना बानेश्वर ९</t>
  </si>
  <si>
    <t>पाङ्मा खोला सिंचाई योजना खाँदबारी ७ माल्टा</t>
  </si>
  <si>
    <t xml:space="preserve"> साक्मा फोहोरा सिंचाई योजना आँखीभूई ९ मुलगाउँ</t>
  </si>
  <si>
    <t>बोहोराटार सोलार लिफ्ट सिंचाई योजना खाँदबारी ९</t>
  </si>
  <si>
    <t>शिरिसे फोहोरा सिंचाई योजना खाँदबारी ९</t>
  </si>
  <si>
    <t>पञ्चकन्या स्प्रिङकलर सिंचाई योजना खाँदबारी ७</t>
  </si>
  <si>
    <t>काभ्रे मुहान फोहोरा सिंचाई योजना खाँदबारी ३</t>
  </si>
  <si>
    <t>आहाले स्प्रिङकलर सिंचाई योजना खाँदबारी ७</t>
  </si>
  <si>
    <t>आम्बोटे स्प्रिङकलर सिंचाई योजना आँखीभूई</t>
  </si>
  <si>
    <t>सिम्पाने खोला आहाले खेत सिंचाई योजना खाँदबारी ७</t>
  </si>
  <si>
    <t>सामाजिक परिचालन प्रसार प्रसार अन्य</t>
  </si>
  <si>
    <t>संस्थागत विकास तथा तालिम कार्य</t>
  </si>
  <si>
    <t>माल्टा खोला डुङडुङे मुहान आकाशे सिंचाई उप-आयोजना खाँदबारी</t>
  </si>
  <si>
    <t>खेतस्तरको संरचना सुधार कार्य</t>
  </si>
  <si>
    <t xml:space="preserve">ख </t>
  </si>
  <si>
    <t>समुदाय व्यवस्थित सिंचित कृषि क्षेत्र आयोजना पुँजीगत</t>
  </si>
  <si>
    <t>;+l#o ;zt{ cg"bfg - ef}lts k'jf{wf/ ljsf; dGqfno _</t>
  </si>
  <si>
    <t>नमुना सोलार टार लिफ्ट सिचाइ  योजना</t>
  </si>
  <si>
    <t>hDdf</t>
  </si>
  <si>
    <t>२०७६ श्रावण देखि २०७७ असार महिना सम्मको योजनागत खर्चको बिवरण</t>
  </si>
  <si>
    <t>c;f/sf]</t>
  </si>
  <si>
    <t>h]&amp; d;fGtsf] vr{</t>
  </si>
  <si>
    <t xml:space="preserve">c;f/ dlxgfsf] vr{ </t>
  </si>
  <si>
    <t>s'n hDdf vr{</t>
  </si>
  <si>
    <t>km/s</t>
  </si>
  <si>
    <t>of]hgfutsf] hDdf vr{</t>
  </si>
  <si>
    <t>h]&amp; ;Ddsf]</t>
  </si>
  <si>
    <t>xfn;Ddsf]</t>
  </si>
  <si>
    <t>of]hgfutsf]</t>
  </si>
  <si>
    <t>km/s ?</t>
  </si>
  <si>
    <t>c;f/ ;Ddsf]</t>
  </si>
  <si>
    <t>cg';"lr *-v_</t>
  </si>
  <si>
    <t>!= cf=j=)&amp;^÷&amp;&amp;</t>
  </si>
  <si>
    <t>&amp;_ o; cjlwsf] vr{ ?=</t>
  </si>
  <si>
    <t>@= ah]6 pklzif{s g+=##&amp;)#)!!</t>
  </si>
  <si>
    <t xml:space="preserve">   s_ cfGtl/s  !_ g]kfn ;/sf/</t>
  </si>
  <si>
    <t>#= d+qfno M ef}lts k"jf{wf/ ljsf; d+qfno</t>
  </si>
  <si>
    <t xml:space="preserve">                 @_ :yflgo lgsfo÷;:yf</t>
  </si>
  <si>
    <t>$= ljefu÷;+:yfsf] gfd Mhn&gt;f]t tyf l;rfO ljsf; l8lehg,;+v'jf;ef</t>
  </si>
  <si>
    <t>%= sfo{qmd÷cfof]hgfsf] gfd Mhn&gt;f]t tyf l;rfO ljsf; l8lehgx?</t>
  </si>
  <si>
    <t xml:space="preserve">                 #_ hg;xeflutf M</t>
  </si>
  <si>
    <t>^= :yfgM -s_ lhNnfM ;+v'jf;ef</t>
  </si>
  <si>
    <t>^= cfof]hgf÷sfof{no k|d"vsf] gfd M /0fhLt s'df/ emf</t>
  </si>
  <si>
    <t xml:space="preserve">   v_ j}b]lzs   !_ C0fM</t>
  </si>
  <si>
    <t xml:space="preserve">&amp;= o; cjlwsf] ah]6 ?=  </t>
  </si>
  <si>
    <t xml:space="preserve">            @_ cg"bfg M</t>
  </si>
  <si>
    <t>s_ cfGtl/s -!_ g]kfn ;/sf/ M</t>
  </si>
  <si>
    <t>*= rf}dfl;s÷jflif{s ah]6sf] t"ngfdf vr{ k|ltzt M</t>
  </si>
  <si>
    <t xml:space="preserve">              @_ hg;xeflutf M</t>
  </si>
  <si>
    <t>(= ;"?b]lv o; cjlw;Ddsf] s"n vr{ k|ltzt -s"n nfutsf] t"ngfdf_</t>
  </si>
  <si>
    <t>Vf_ j}b]lzs    !_ C0f</t>
  </si>
  <si>
    <t>!)_ ljt]sf] ;do k|ltztdf -s"n cjlwsf] t"ngfdf_</t>
  </si>
  <si>
    <t xml:space="preserve">              @_ cg"bfg</t>
  </si>
  <si>
    <t>!!_ ;"?b]lv o; cjlw ;Ddsf] ef}lts k|ult k|ltzt M</t>
  </si>
  <si>
    <t>?= nfvdf==</t>
  </si>
  <si>
    <t>qm=;=</t>
  </si>
  <si>
    <t>sfo{qmd÷lqmofsnfk</t>
  </si>
  <si>
    <t>vr{ lzif{s</t>
  </si>
  <si>
    <t>OsfO{</t>
  </si>
  <si>
    <t>cfof]hgfsf] s'n s[ofsnfksf]</t>
  </si>
  <si>
    <t>;Dk"0f{ sfo{ dWo] ut cf=a= ;Ddsf]</t>
  </si>
  <si>
    <t>jflif{s nIo</t>
  </si>
  <si>
    <t xml:space="preserve">k|yd rf}dfl;s nIo </t>
  </si>
  <si>
    <t>k|yd rf}dfl;s k|ult</t>
  </si>
  <si>
    <t>k|ult cjlw ;Dd o; cf=j=sf] k|ult</t>
  </si>
  <si>
    <t>cfof]hgfsf] s"ndWo] xfn;Dd</t>
  </si>
  <si>
    <t>s}lkmot</t>
  </si>
  <si>
    <t>kl/df0f</t>
  </si>
  <si>
    <t>ef/</t>
  </si>
  <si>
    <t>jh]6</t>
  </si>
  <si>
    <t>efl/t</t>
  </si>
  <si>
    <t>;DkGg kl/df0f</t>
  </si>
  <si>
    <t>efl/t k|ult</t>
  </si>
  <si>
    <t>c_ k"lhut vr{ cGtu{tsf sfo{qmdx?</t>
  </si>
  <si>
    <t>11.4.15.16</t>
  </si>
  <si>
    <t>of]hgf klxrfg ug]{ sfo{ -l;+rfO k|0ffnLsf] lgdf{0f_</t>
  </si>
  <si>
    <t>j6f</t>
  </si>
  <si>
    <t>11.4.15.18</t>
  </si>
  <si>
    <t>lj:t[t ;e]{If0f,nfutcg'dfg tyf Pk|fO{hn l/kf]6{ t}of/ ug]{ sfo{ -l;+rfO tyf gbL lgoGq0f ;DjlGw cg';Gwfg tyf k/fdz{_-l;+rfO{ k|0ffnLsf] lgdf{0f_</t>
  </si>
  <si>
    <t>11.4.15.10</t>
  </si>
  <si>
    <t xml:space="preserve">:ofjf vf]nf l;+rfO of]hgf, r}gk'/ g=kf= !/@-l;+rfO{ k|0ffnLsf] lgdf{0f_ </t>
  </si>
  <si>
    <t>k|=z=</t>
  </si>
  <si>
    <t>11.4.15.1483</t>
  </si>
  <si>
    <t>नमुना सोलार टार लिफ्ट  सिंचाई योजना  (सिचाइ प्रणालीको निर्माण)</t>
  </si>
  <si>
    <t>11.4.15.1484.1</t>
  </si>
  <si>
    <t>नमुना सोलार टार लिफ्ट  सिंचाई योजना तुम्लीगटार लिफ्ट सिंचाई योजना  (सिचाइ प्रणालीको निर्माण)</t>
  </si>
  <si>
    <t>11.5.15.1</t>
  </si>
  <si>
    <t>विभिन्न जलश्रोत तथा सिंचाई विकास डिभिजन/सव डिभिजन कार्यालयहरुको लागि संस्थागत विकास  (सिचाइ प्रणालीको सुधार)</t>
  </si>
  <si>
    <t>प्रति</t>
  </si>
  <si>
    <t>@= hn pTkGg k|sf]k Joj:yfkg tyf gbL lgoGq0f</t>
  </si>
  <si>
    <t>11.4.14.3</t>
  </si>
  <si>
    <t>c?0f gbL lgoGq0f -gbL lgoGq0f ;DjlGw sfo{_</t>
  </si>
  <si>
    <t>11.4.14.4</t>
  </si>
  <si>
    <t>x]+jf vf]nf lgoGq0f -gbL lgoGq0f ;DjlGw sfo{_</t>
  </si>
  <si>
    <t>11.4.14.5</t>
  </si>
  <si>
    <t>6'6] vf]nf l;dn8f8f cfDaf]6] klx/f] lgoGq0f wd{b]jfL g=kf= $  -gbL lgoGq0f ;DjlGw sfo{_</t>
  </si>
  <si>
    <t>11.4.14.6</t>
  </si>
  <si>
    <t>df;]{ le/ 8'd|] j]+l; klx/f] lgoGq0f wd{b]jfL g=kf= $  -gbL lgoGq0f ;DjlGw sfo{_</t>
  </si>
  <si>
    <t>11.4.14.7</t>
  </si>
  <si>
    <t>lxdfno ls/0f SofDk; v]n d}bfg  Joj:yfkg, vf+bjf/L g=kf= -gbL lgoGq0f ;DjlGw sfo{_</t>
  </si>
  <si>
    <t>11.4.14.8</t>
  </si>
  <si>
    <t>qLj]0fL pRr df=lj= v]n d}bfg  ;+/If0f,;efkf]v/L uf==kf=afx|lj;] -gbL lgoGq0f ;DjlGw sfo{_</t>
  </si>
  <si>
    <t>11.4.14.9</t>
  </si>
  <si>
    <t>/fd dlGb/ kl/;/   ;+/If0f,dfbL -dfof vf]nf / lkn'jf vf]nf_ -gbL lgoGq0f ;DjlGw sfo{_</t>
  </si>
  <si>
    <t>11.4.14.10</t>
  </si>
  <si>
    <t>dx]Gb| df=lj= hUuf tyf v]n d}bfg  ;+/If0f, vf+bjf/L g=kf=# dfg]eGHof+u -gbL lgoGq0f ;DjlGw sfo{_</t>
  </si>
  <si>
    <t>11.4.14.11</t>
  </si>
  <si>
    <t>dgsfdgf dlGb/  ;+/If0f, vf+bjf/L g=kf=(  -gbL lgoGq0f ;DjlGw sfo{_</t>
  </si>
  <si>
    <t>11.4.14.12</t>
  </si>
  <si>
    <t>:yflgo txsf] nflu klx/f] lgoGq0f -gbL lgoGq0f ;DjlGw sfo{_</t>
  </si>
  <si>
    <t>11.4.14.13</t>
  </si>
  <si>
    <t>tf/hfnL vl/b tyf cfktsfnLg sfo{ -gbL lgoGq0f ;DjlGw sfo{_</t>
  </si>
  <si>
    <t>#= demf}nf l;+rfO{ of]hgf</t>
  </si>
  <si>
    <t>11.4.15.94</t>
  </si>
  <si>
    <t>s';'jf vf]nf gfubx l;+rfO of]hgf, :ofa'g * -!))x]=_    -l;+rfO k|0ffnLsf] lgdf{0f_</t>
  </si>
  <si>
    <t>11.4.15.94.1</t>
  </si>
  <si>
    <t>of]hgf lgdf{0f sfo{ -l;+rfO k|0ffnLsf] lgdf{0f_</t>
  </si>
  <si>
    <t>k|.z.</t>
  </si>
  <si>
    <t>11.4.15.95</t>
  </si>
  <si>
    <t>nfxfr'+u l;+rfO of]hgf, cf+lve'O{ -#%)x]=_ -l;+rfO k|0ffnLsf] lgdf{0f_</t>
  </si>
  <si>
    <t>11.4.15.95.1</t>
  </si>
  <si>
    <t>11.4.15.96</t>
  </si>
  <si>
    <t>cf]zfs vf]nf l;+rfO of]hgf, l;4sfnL !,@ -$^x]=_ -l;+rfO k|0ffnLsf] lgdf{0f_</t>
  </si>
  <si>
    <t>11.4.15.97</t>
  </si>
  <si>
    <t>dfGb|] vf]nf t];]{ ;fdtf+u] s'nf] l;+rfO of]hgf, cf+lve'O{ !  -l;+rfO k|0ffnLsf] lgdf{0f_</t>
  </si>
  <si>
    <t>11.4.15.98</t>
  </si>
  <si>
    <t>tNnf] ;fx'6f/ l;+rfO of]hgf, r}gk'/ * -l;+rfO k|0ffnLsf] lgdf{0f_</t>
  </si>
  <si>
    <t>11.4.15.99</t>
  </si>
  <si>
    <t>lr+v'jf vf]nf ljlxjf/] l;+rfO of]hgf, hnhnf &amp; / * -l;+rfO k|0ffnLsf] lgdf{0f_</t>
  </si>
  <si>
    <t>11.4.15.101</t>
  </si>
  <si>
    <t>em'qf t'k'jf vf]nf l;+rfO of]hgf, r}gk'/ $ b]lv &amp; -l;+rfO k|0ffnLsf] lgdf{0f_</t>
  </si>
  <si>
    <t>11.4.15.102</t>
  </si>
  <si>
    <t>af3f vf]nf d'xfg eO{ 9f+8] ufpF l;df/L k'n'+u l;+rfO of]hgf, dfbL -l;+rfO k|0ffnLsf] lgdf{0f_</t>
  </si>
  <si>
    <t>11.4.15.103</t>
  </si>
  <si>
    <t>sfnL vf]nf  l;+rfO of]hgf, l;lnrf]+u )@ -#%x]=_ ;+v'jf;ef-l;+rfO k|0ffnLsf] lgdf{0f_</t>
  </si>
  <si>
    <t>11.4.15.104</t>
  </si>
  <si>
    <t>r]jf vf]nf  l;+rfO pk cfof]hgf,l;Qnkf6L, vf=g=kf= !);+v'jf;ef-l;+rfO k|0ffnLsf] lgdf{0f_</t>
  </si>
  <si>
    <t>11.4.15.105</t>
  </si>
  <si>
    <t>/ofn] j]+l;  l;+rfO of]hgf,vf=g=kf= * ;+v'jf;ef-%)x]=_ -l;+rfO k|0ffnLsf] lgdf{0f_</t>
  </si>
  <si>
    <t>11.4.15.106</t>
  </si>
  <si>
    <t>d'n'jf vf]nf ?kg] l;+rfO of]hgf,cf+lve'O{ &amp;,  ;+v'jf;ef -!))x]=_ -l;+rfO k|0ffnLsf] lgdf{0f_</t>
  </si>
  <si>
    <t>11.4.15.107</t>
  </si>
  <si>
    <t>d]6]df/f 9f+8s'nf]  l;+rfO of]hgf lj:tf/ , wd{b]jL @ -l;+rfO k|0ffnLsf] lgdf{0f_</t>
  </si>
  <si>
    <t>11.4.15.108</t>
  </si>
  <si>
    <t>df/gL 9f+8s'nf]  l;+rfO of]hgf, wd{b]jL @ -l;+rfO k|0ffnLsf] lgdf{0f_</t>
  </si>
  <si>
    <t>11.4.15.109</t>
  </si>
  <si>
    <t>7'6]vf]nf 8'd|] j]+l; le/ s'nf]  wd{b]jL $ -l;+rfO k|0ffnLsf] lgdf{0f_</t>
  </si>
  <si>
    <t>11.4.15.110</t>
  </si>
  <si>
    <t>7'6]vf]nf ofVvf rf]s 5]p x'+b} Rofg8f+8f x'kf{ j]+l; s'nf]  wd{b]jL $ -l;+rfO k|0ffnLsf] lgdf{0f_</t>
  </si>
  <si>
    <t>11.4.15.111</t>
  </si>
  <si>
    <t>7'6]vf]nf lkTnf+u j]+l; hfg] s'nf]  wd{b]jL $ -l;+rfO k|0ffnLsf] lgdf{0f_</t>
  </si>
  <si>
    <t>11.4.15.112</t>
  </si>
  <si>
    <t>dfDnL+u ;Nn] k'5f/ lt/lt/]  s'nf]  wd{b]jL $ -l;+rfO k|0ffnLsf] lgdf{0f_</t>
  </si>
  <si>
    <t>11.4.15.113</t>
  </si>
  <si>
    <t>a]/af]6L vf]nfdf klSs jfFw lgdf{0f -l;+rfO k|0ffnLsf] lgdf{0f_</t>
  </si>
  <si>
    <t>11.4.15.114</t>
  </si>
  <si>
    <t>d]6]df/f ldlvnf+u   l;+rfO of]hgf, wd{b]jL @ -l;+rfO k|0ffnLsf] lgdf{0f_</t>
  </si>
  <si>
    <t>11.4.15.115</t>
  </si>
  <si>
    <t>a]:s' vf]nf   l;+rfO of]hgf, afnf -l;+rfO k|0ffnLsf] lgdf{0f_</t>
  </si>
  <si>
    <t>11.4.15.116</t>
  </si>
  <si>
    <t>hf]/vf]nf   l;+rfO of]hgf, dsfn' # -l;+rfO k|0ffnLsf] lgdf{0f_</t>
  </si>
  <si>
    <t>11.4.15.117</t>
  </si>
  <si>
    <r>
      <t xml:space="preserve">;f+h' vf]nf  /fhs'nf] l;+rfO of]hgf, ef]6vf]nf </t>
    </r>
    <r>
      <rPr>
        <sz val="11"/>
        <rFont val="Arial"/>
        <family val="1"/>
      </rPr>
      <t>-</t>
    </r>
    <r>
      <rPr>
        <sz val="11"/>
        <rFont val="Preeti"/>
      </rPr>
      <t>)# xl6of -l;+rfO k|0ffnLsf] lgdf{0f_</t>
    </r>
  </si>
  <si>
    <t>11.4.15.118</t>
  </si>
  <si>
    <t>;fSdf l;+rfO pkof]hgf, cf+lve'O,{ ( ;+v'jf;ef -l;+rfO k|0ffnLsf] lgdf{0f_</t>
  </si>
  <si>
    <t>11.4.15.119</t>
  </si>
  <si>
    <t>s]+jf vf]nf lkmt'jf dfnLe]u l;+rfO pkof]hgf, cf+lve'O,{ ( ;+v'jf;ef -l;+rfO k|0ffnLsf] lgdf{0f_</t>
  </si>
  <si>
    <t>11.4.15.120</t>
  </si>
  <si>
    <t>s]+jf j]+;L  l;+rfO of]hgf, s]+jf j]+;L wd{b]jL * -l;+rfO k|0ffnLsf] lgdf{0f_</t>
  </si>
  <si>
    <t>11.4.15.121</t>
  </si>
  <si>
    <t>dO{d s'nf]  l;+rfO pkof]hgf, dfDnL+u -l;+rfO k|0ffnLsf] lgdf{0f_</t>
  </si>
  <si>
    <t>11.4.15.122</t>
  </si>
  <si>
    <t>vfjf vf]nf rf}/Lvs{{ l;+rfO of]hgf, kf+rvkg ( -l;+rfO k|0ffnLsf] lgdf{0f_</t>
  </si>
  <si>
    <t>11.4.15.123</t>
  </si>
  <si>
    <r>
      <t>l5+v'jf vf]nf vf]N5L l;+rfO of]hgf, tfDs'</t>
    </r>
    <r>
      <rPr>
        <sz val="11"/>
        <rFont val="Arial"/>
        <family val="1"/>
      </rPr>
      <t>-</t>
    </r>
    <r>
      <rPr>
        <sz val="11"/>
        <rFont val="Preeti"/>
      </rPr>
      <t># -l;+rfO k|0ffnLsf] lgdf{0f_</t>
    </r>
  </si>
  <si>
    <t>11.4.15.124</t>
  </si>
  <si>
    <t>Ps'jf vf]nf s'nf] l;+rfO of]hgf yfqmfd km]bL , dsfn' -l;+rfO k|0ffnLsf] lgdf{0f_</t>
  </si>
  <si>
    <t>11.4.15.125</t>
  </si>
  <si>
    <t>rfd|f+u vf]nf ;f]nfjg s'nf]  l;+rfO of]hgf, wd{b]jL % -l;+rfO k|0ffnLsf] lgdf{0f_</t>
  </si>
  <si>
    <t>11.4.15.126</t>
  </si>
  <si>
    <t>kf8f/] gfs]8f+8  l;+rfO of]hgf, wd{b]jL * -l;+rfO k|0ffnLsf] lgdf{0f_</t>
  </si>
  <si>
    <t>11.4.15.127</t>
  </si>
  <si>
    <t>cn}rLjf/L l;+rfO of]hgf,vf=g=kf= % - l;+rfO k|0ffnLsf] lgdf{0f _</t>
  </si>
  <si>
    <t>11.4.15.128</t>
  </si>
  <si>
    <t>b]p/fnL  l;+rfO pkof]hgf,;efkf]v/L !b]p/fnL -l;+rfO k|0ffnLsf] lgdf{0f _</t>
  </si>
  <si>
    <t>11.4.15.151</t>
  </si>
  <si>
    <t>rfd|f+u vf]nf cf]v/af]6] 8f+8f  l;+rfO of]hgf, wd{b]jL % -l;+rfO k|0ffnLsf] lgdf{0f_</t>
  </si>
  <si>
    <t>11.4.15.155</t>
  </si>
  <si>
    <t>efn'vf]k   l;+rfO of]hgf, wd{b]jL @ -l;+rfO k|0ffnLsf] lgdf{0f_</t>
  </si>
  <si>
    <t>11.4.15.156</t>
  </si>
  <si>
    <t>8'+u8'+u] vf]nf l;l/+u 8f+8fufpF   l;+rfO of]hgf, r}gk'/ )! -l;+rfO k|0ffnLsf] lgdf{0f_</t>
  </si>
  <si>
    <t>11.4.15.157</t>
  </si>
  <si>
    <t>7f8] vf]nf   l;+rfO of]hgf,dfbL g=kf= * -l;+rfO k|0ffnLsf] lgdf{0f_</t>
  </si>
  <si>
    <t>11.4.15.158</t>
  </si>
  <si>
    <t>8'+8jf/L  l;+rfO of]hgf, wd{b]jL  g=kf=# -l;+rfO k|0ffnLsf] lgdf{0f_</t>
  </si>
  <si>
    <t>11.4.15.159</t>
  </si>
  <si>
    <t>6'gLjf]6]]vf]SnL+u cn}rLjf/L ;Nn]   l;+rfO of]hgf, wd{b]jL  g=kf=# -l;+rfO k|0ffnLsf] lgdf{0f_</t>
  </si>
  <si>
    <t>11.4.15.161</t>
  </si>
  <si>
    <t>s'dfNgL vf]nf afO{;emf]/]   l;+rfO of]hgf, wd{b]jL  g=kf=# -l;+rfO k|0ffnLsf] lgdf{0f_</t>
  </si>
  <si>
    <t>11.4.15.162</t>
  </si>
  <si>
    <r>
      <t>ly+u'jf vf]nf l;+rfO of]hgf, tfDs'</t>
    </r>
    <r>
      <rPr>
        <sz val="11"/>
        <rFont val="Arial"/>
        <family val="1"/>
      </rPr>
      <t>-</t>
    </r>
    <r>
      <rPr>
        <sz val="11"/>
        <rFont val="Preeti"/>
      </rPr>
      <t>@,kf+ltdf -l;+rfO k|0ffnLsf] lgdf{0f_</t>
    </r>
  </si>
  <si>
    <t>11.4.15.163</t>
  </si>
  <si>
    <t>s';'jf vf]nf l;+rfO of]hgf, kf+rvkg g=kf= ! -l;+rfO k|0ffnLsf] lgdf{0f_</t>
  </si>
  <si>
    <t>11.4.15.164</t>
  </si>
  <si>
    <t>cu|fv] l;+rfO of]hgf,vf=g=kf= ^  -l;+rfO k|0ffnLsf] lgdf{0f_</t>
  </si>
  <si>
    <t>11.4.15.165</t>
  </si>
  <si>
    <t>xf+b'jf vf]nf l;+rfO of]hgf, kf+rvkg g=kf= @ -l;+rfO k|0ffnLsf] lgdf{0f_</t>
  </si>
  <si>
    <t>11.4.15.166</t>
  </si>
  <si>
    <t>;'gkfgL  l;+rfO of]hgf, kf+rvkg g=kf= !s';'jf 8f+8f ufpF -l;+rfO k|0ffnLsf] lgdf{0f_</t>
  </si>
  <si>
    <t>11.4.15.167</t>
  </si>
  <si>
    <t>7f8] vf]nf d'xfg u/L  dflyNnf] :ofa'g   l;+rfO of]hgf, kf+rvkg g=kf= )@-l;+rfO k|0ffnLsf] lgdf{0f_</t>
  </si>
  <si>
    <t>11.4.15.168</t>
  </si>
  <si>
    <t>b]jLyfg b]lv r'nfr'nL ;Dd kSsL s'nf] lgdf{0f, kf+rvkg g=kf= )!-l;+rfO k|0ffnLsf] lgdf{0f_</t>
  </si>
  <si>
    <t>11.4.15.169</t>
  </si>
  <si>
    <t>s';'jf vf]nf d'xfg u/L  l;Dn] lgkfg] tNnf] l;+rfO of]hgf, kf+rvkg g=kf= )!-l;+rfO k|0ffnLsf] lgdf{0f_</t>
  </si>
  <si>
    <t>11.4.15.170</t>
  </si>
  <si>
    <t>s';'jf vf]nf l;:g] d'xfg u/L  s}hfn] d'9] l;+rfO of]hgf, kf+rvkg g=kf= )!-l;+rfO k|0ffnLsf] lgdf{0f_</t>
  </si>
  <si>
    <t>11.4.15.171</t>
  </si>
  <si>
    <t>kf+df vf]nf a8]/]gL l;+rfO of]hgf,vf=g=kf= %  -l;+rfO k|0ffnLsf] lgdf{0f_</t>
  </si>
  <si>
    <t>11.4.15.172</t>
  </si>
  <si>
    <t>dxflj/ vf]nf s]/];fjf/L   l;+rfO of]hgf, wd{b]jL  g=kf=!, t]Nnf]s -l;+rfO k|0ffnLsf] lgdf{0f_</t>
  </si>
  <si>
    <t>11.4.15.173</t>
  </si>
  <si>
    <t>af]Qmfd s'nf]  l;+rfO of]hgf, l;lnrf]+u,)# -l;+rfO k|0ffnLsf] lgdf{0f_</t>
  </si>
  <si>
    <t>11.4.15.174</t>
  </si>
  <si>
    <t>bf]efg] d'xfg u/L  xn]b] ;]/fj]+l; e}+;] lbKn]6f/ l;+rfO of]hgf, kf+rvkg g=kf= $,%-l;+rfO k|0ffnLsf] lgdf{0f_</t>
  </si>
  <si>
    <t>11.4.15.175</t>
  </si>
  <si>
    <t>efn'vf]k gofF s'nf] l;+rfO of]hgf, wd{b]jL g=kf= @-l;+rfO k|0ffnLsf] lgdf{0f_</t>
  </si>
  <si>
    <t>11.4.15.176</t>
  </si>
  <si>
    <t>PSn] j]+l; 6'F8Lv]n vdf/]b]jL 3/ l;Dn] xn]bLj]+;L l;+rfO of]hgf, kf+rvkg g=kf= %-l;+rfO k|0ffnLsf] lgdf{0f_</t>
  </si>
  <si>
    <t>11.4.15.177</t>
  </si>
  <si>
    <t>lr+v'jf vf]nf d'xfg u/L rf]/] rf}sL afpg d'n s'nf] l;+rfO of]hgf, hnhnf kf+rvkg *-l;+rfO k|0ffnLsf] lgdf{0f_</t>
  </si>
  <si>
    <t>11.4.15.178</t>
  </si>
  <si>
    <t>s]+jf c+w]/L afF;3f/L s/kmf]s lkmt''jf dfnLe]u s'nf] l;+rfO of]hgf, wd{b]jL (-l;+rfO k|0ffnLsf] lgdf{0f_</t>
  </si>
  <si>
    <t>11.4.15.179</t>
  </si>
  <si>
    <t>;fx'6f/ l;+rfO of]hgf, r}gk'/ g=kf= *-l;+rfO k|0ffnLsf] lgdf{0f_</t>
  </si>
  <si>
    <t>11.4.15.180</t>
  </si>
  <si>
    <t>tNnf] lr+v'jf  l;+rfO of]hgf, kf+rvkg * hnhnf-l;+rfO k|0ffnLsf] lgdf{0f_</t>
  </si>
  <si>
    <t>11.4.15.326</t>
  </si>
  <si>
    <t>efn' vf]nf  l;+rfO of]hgf, vf=g=kf= !)-l;+rfO k|0ffnLsf] lgdf{0f_</t>
  </si>
  <si>
    <t>11.4.15.327</t>
  </si>
  <si>
    <t>j]t]gL  vf]nf  l;+rfO of]hgf, vf=g=kf= -l;+rfO k|0ffnLsf] lgdf{0f_</t>
  </si>
  <si>
    <t>11.4.15.382</t>
  </si>
  <si>
    <t>dfof vf]nf dflDn+u x'+b} cf+lve'O  l;+rfO of]hgf, -l;+rfO k|0ffnLsf] lgdf{0f_</t>
  </si>
  <si>
    <t>11.4.15.383</t>
  </si>
  <si>
    <t>uf]+u  vf]nf jfln+u lrof v]tL   l;+rfO of]hgf, dsfn' ^-l;+rfO k|0ffnLsf] lgdf{0f_</t>
  </si>
  <si>
    <t>11.4.15.384</t>
  </si>
  <si>
    <t>kfdf  vf]nf  lkl/df s'nf] ;+o'Qm l;+rfO k|0ffnL, vf=g=kf=&amp;,;+v'jf;ef -l;+rfO k|0ffnLsf] lgdf{0f_</t>
  </si>
  <si>
    <t>11.4.15.870</t>
  </si>
  <si>
    <t>of]uL8f+8f kf+7f dfN6f vf]nf lvlk|+u k'5f/ d'xfg, vf=g=kf=^ -l;+rfO k|0ffnLsf] lgdf{0f_</t>
  </si>
  <si>
    <t>11.4.15.871</t>
  </si>
  <si>
    <t>v]s'jf vf]nf d'xfg ul/ cf?jf]6] 9'+u] atf;] l;+rfO cfof]hgf, r}gk'/ $-l;+rfO k|0ffnLsf] lgdf{0f_</t>
  </si>
  <si>
    <t>11.4.15.927</t>
  </si>
  <si>
    <t>/fhs'nf] l;+rfO lgdf{0f vf=g=kf=!! -l;+rfO k|0ffnLsf] lgdf{0f_</t>
  </si>
  <si>
    <t>11.4.15.959</t>
  </si>
  <si>
    <t>kf+df vf]nf d'xfg eO{ cn}rLjf/L tNnf] dfN6f  l;+rfO s'nf] :t/f]GgtL, ;+v'jf;ef -l;+rfO k|0ffnLsf] lgdf{0f_</t>
  </si>
  <si>
    <t>j^f</t>
  </si>
  <si>
    <t>$= gofF k|ljlwdf cfwfl/t l;+rfO{ of]hgf</t>
  </si>
  <si>
    <t>11.4.15.21</t>
  </si>
  <si>
    <t>;fWg] af]h]lgdf kf]v/L lgdf{0f, wd{b]jL g=kf= -l;+rfO k|0ffnLsf] lgdf{0f_</t>
  </si>
  <si>
    <t>11.4.15.21.1</t>
  </si>
  <si>
    <t>d]g kfO{k tyf P;];f]/Lh vl/b tyf h8fg sfo{ -l;+rfO k|0ffnLsf] lgdf{0f_</t>
  </si>
  <si>
    <t>ls.ld.</t>
  </si>
  <si>
    <t>11.4.15.22</t>
  </si>
  <si>
    <t>g]jf/ ufpF ;f]nf/ lnkm\6 l;+rfO{ of]hgf , vf=g=kf=)( -l;+rfO k|0ffnLsf] lgdf{0f_</t>
  </si>
  <si>
    <t>11.4.15.22.1</t>
  </si>
  <si>
    <t>11.4.15.23</t>
  </si>
  <si>
    <t>;fkdf/] 5f+u] kmf]xf]/f l;+rfO{ of]hgf , r}gk'/ )! -l;+rfO k|0ffnLsf] lgdf{0f_</t>
  </si>
  <si>
    <t>11.4.15.23.1</t>
  </si>
  <si>
    <t>11.4.15.24</t>
  </si>
  <si>
    <t>kf+df vf]nf kmf]xf]/f l;+rfO{ of]hgf , vf=g=kf= % -l;+rfO k|0ffnLsf] lgdf{0f_</t>
  </si>
  <si>
    <t>11.4.15.24.1</t>
  </si>
  <si>
    <t>kfO{k tyf P;];f]/Lh vl/b tyf h8fg sfo{ -l;+rfO k|0ffnLsf] lgdf{0f_</t>
  </si>
  <si>
    <t>11.4.15.26</t>
  </si>
  <si>
    <t>u'?+u ufpF kmf]xf]/f l;+rfO{ of]hgf , vf=g=kf= % -l;+rfO k|0ffnLsf] lgdf{0f_</t>
  </si>
  <si>
    <t>11.4.15.26.1</t>
  </si>
  <si>
    <t>11.4.15.27</t>
  </si>
  <si>
    <t>kf+7f sfdw]g' kmf]xf]/f l;+rfO{ of]hgf , vf=g=kf= % -l;+rfO k|0ffnLsf] lgdf{0f_</t>
  </si>
  <si>
    <t>11.4.15.27.1</t>
  </si>
  <si>
    <t>11.4.15.28</t>
  </si>
  <si>
    <t>3f]8]6f/ u}/LufpF ;f]nf/ lnkm\6 l;+rfO{ of]hgf , r}gk'/ -l;+rfO k|0ffnLsf] lgdf{0f_</t>
  </si>
  <si>
    <t>11.4.15.28.1</t>
  </si>
  <si>
    <t>11.4.15.30</t>
  </si>
  <si>
    <t>a/uf5L /fgfufpF l;+rfO{ of]hgf , r}gk'/ !! -l;+rfO k|0ffnLsf] lgdf{0f_</t>
  </si>
  <si>
    <t>11.4.15.30.1</t>
  </si>
  <si>
    <t>11.4.15.32</t>
  </si>
  <si>
    <t>c?0f vf]nf /ofn] j]+l;  l;+rfO{ of]hgf , vf+bjf/L * -l;+rfO k|0ffnLsf] lgdf{0f_</t>
  </si>
  <si>
    <t>11.4.15.32.1</t>
  </si>
  <si>
    <t>11.4.15.35</t>
  </si>
  <si>
    <t>;f3'/L 6f]n ljsf; ;+:yf , vf+bjf/L (,t'DnL+u6f/ -l;+rfO k|0ffnLsf] lgdf{0f_</t>
  </si>
  <si>
    <t>11.4.15.35.1</t>
  </si>
  <si>
    <t>11.4.15.38</t>
  </si>
  <si>
    <t>dsfn' 6f]n ljsf; ;+:yf , vf+bjf/L (,t'DnL+u6f/ -l;+rfO k|0ffnLsf] lgdf{0f_</t>
  </si>
  <si>
    <t>11.4.15.38.1</t>
  </si>
  <si>
    <t>11.4.15.42</t>
  </si>
  <si>
    <t>d+unfb]jL  6f]n ljsf; ;+:yf , vf+bjf/L (,t'DnL+u6f/ -l;+rfO k|0ffnLsf] lgdf{0f_</t>
  </si>
  <si>
    <t>11.4.15.42.1</t>
  </si>
  <si>
    <t>11.4.15.45</t>
  </si>
  <si>
    <t>xlnb]   6f]n ljsf; ;+:yf , vf+bjf/L (,t'DnL+u6f/ -l;+rfO k|0ffnLsf] lgdf{0f_</t>
  </si>
  <si>
    <t>11.4.15.45.1</t>
  </si>
  <si>
    <t>11.4.15.48</t>
  </si>
  <si>
    <t>a}w]ufpF   6f]n ljsf; ;+:yf , vf+bjf/L (,t'DnL+u6f/ -l;+rfO k|0ffnLsf] lgdf{0f_</t>
  </si>
  <si>
    <t>11.4.15.48.1</t>
  </si>
  <si>
    <t>11.4.15.62</t>
  </si>
  <si>
    <t>xfgLdf/ cf?jf]6] l;+rfO{ of]hgf , vf+bjf/L # -l;+rfO k|0ffnLsf] lgdf{0f_</t>
  </si>
  <si>
    <t>11.4.15.62.1</t>
  </si>
  <si>
    <t>11.4.15.79</t>
  </si>
  <si>
    <r>
      <t>9'+u9'+u] 88]nL kmf]xf]/f l;+rfO of]hgf, r}gk'/</t>
    </r>
    <r>
      <rPr>
        <sz val="11"/>
        <rFont val="Arial"/>
        <family val="1"/>
      </rPr>
      <t>-</t>
    </r>
    <r>
      <rPr>
        <sz val="11"/>
        <rFont val="Preeti"/>
      </rPr>
      <t>)! -l;+rfO k|0ffnLsf] lgdf{0f_</t>
    </r>
  </si>
  <si>
    <t>11.4.15.79.1</t>
  </si>
  <si>
    <t>11.4.15.928</t>
  </si>
  <si>
    <t>n]n'jf kmf]xf]/f l;+rfO cfof]hgf, vf=g=kf= %-l;+rfO k|0ffnLsf] lgdf{0f_</t>
  </si>
  <si>
    <t>s_</t>
  </si>
  <si>
    <t>k"+lhut vr{ sfo{qmdsf] hDdf</t>
  </si>
  <si>
    <t>tof/ ug{]sf] gfd kb / b:tvtM</t>
  </si>
  <si>
    <t>k|dfl)ft ug{]sf] gfd kb / b:tvtM</t>
  </si>
  <si>
    <t>ldltM</t>
  </si>
  <si>
    <t>‍</t>
  </si>
  <si>
    <r>
      <rPr>
        <sz val="8"/>
        <rFont val="कालीमाटी"/>
      </rPr>
      <t>तेश्रो</t>
    </r>
    <r>
      <rPr>
        <sz val="8"/>
        <rFont val="Preeti"/>
      </rPr>
      <t xml:space="preserve"> </t>
    </r>
    <r>
      <rPr>
        <sz val="11"/>
        <rFont val="Preeti"/>
      </rPr>
      <t xml:space="preserve">rf}dfl;s nIo </t>
    </r>
  </si>
  <si>
    <r>
      <rPr>
        <sz val="8"/>
        <rFont val="Preeti"/>
      </rPr>
      <t xml:space="preserve">तेश्रो </t>
    </r>
    <r>
      <rPr>
        <sz val="11"/>
        <rFont val="Preeti"/>
      </rPr>
      <t xml:space="preserve"> rf}dfl;s k|ult</t>
    </r>
  </si>
  <si>
    <t>वार्षिक प्रगति प्रतिवेदन</t>
  </si>
  <si>
    <t>@= ah]6 pklzif{s g+=##&amp;))!@)</t>
  </si>
  <si>
    <t>११.४.१५.११४८</t>
  </si>
  <si>
    <t>११.४.१५.११०१</t>
  </si>
  <si>
    <t>११.४.१५.११०४</t>
  </si>
  <si>
    <t>११.४.१५.११००</t>
  </si>
  <si>
    <t>११.४.१५.११०२</t>
  </si>
  <si>
    <t>११.४.१५.११०६</t>
  </si>
  <si>
    <t>११.४.१५.११०५</t>
  </si>
  <si>
    <t>११.४.१५.११०३</t>
  </si>
  <si>
    <t>११.४.१५.११४४</t>
  </si>
  <si>
    <t>११.४.१५.११४१</t>
  </si>
  <si>
    <t>११.४.१५.११४०</t>
  </si>
  <si>
    <t>११.४.१५.१४६७</t>
  </si>
  <si>
    <t>११.४.१५.१४६८</t>
  </si>
  <si>
    <t>११.४.१५.१३०५</t>
  </si>
  <si>
    <t>११.४.१५.१३०९</t>
  </si>
  <si>
    <t>११.४.१५.१३०६</t>
  </si>
  <si>
    <t>११.४.१५.१३०४</t>
  </si>
  <si>
    <t>११.४.१५.१३०७</t>
  </si>
  <si>
    <t>११.४.१५.१३०८</t>
  </si>
  <si>
    <t>११.४.१५.१३१२</t>
  </si>
  <si>
    <t>११.४.१५.१३१०</t>
  </si>
  <si>
    <t>११.४.१५.१३०१</t>
  </si>
  <si>
    <t>११.४.१५.१३३३</t>
  </si>
  <si>
    <t>११.४.१५.१३३१</t>
  </si>
  <si>
    <t>११.४.१५.१३३२</t>
  </si>
  <si>
    <t>११.४.१५.१३३४</t>
  </si>
  <si>
    <t>११.४.१५.१३३०</t>
  </si>
  <si>
    <t>११.४.१५.१३९७</t>
  </si>
  <si>
    <t>११.४.१५.१३९६</t>
  </si>
  <si>
    <t>११.४.१५.१४१३</t>
  </si>
  <si>
    <t>११.४.१५.२२</t>
  </si>
  <si>
    <t>rfn' vr{ sfo{qmdsf] hDdf</t>
  </si>
  <si>
    <r>
      <rPr>
        <b/>
        <sz val="10"/>
        <rFont val="Preeti"/>
      </rPr>
      <t>तेश्रो</t>
    </r>
    <r>
      <rPr>
        <b/>
        <sz val="12"/>
        <rFont val="Preeti"/>
      </rPr>
      <t xml:space="preserve"> </t>
    </r>
    <r>
      <rPr>
        <b/>
        <sz val="10"/>
        <rFont val="Preeti"/>
      </rPr>
      <t>चौमासिक प्रगति प्रतिवेदन</t>
    </r>
  </si>
  <si>
    <r>
      <rPr>
        <sz val="9"/>
        <rFont val="Preeti"/>
      </rPr>
      <t>ते</t>
    </r>
    <r>
      <rPr>
        <sz val="11"/>
        <rFont val="Preeti"/>
      </rPr>
      <t>&gt;f]  rf}dfl;s k|ult</t>
    </r>
  </si>
  <si>
    <r>
      <rPr>
        <sz val="9"/>
        <rFont val="Preeti"/>
      </rPr>
      <t>तेश्र</t>
    </r>
    <r>
      <rPr>
        <sz val="11"/>
        <rFont val="Preeti"/>
      </rPr>
      <t xml:space="preserve">f] rf}dfl;s nIo </t>
    </r>
  </si>
  <si>
    <t>कैफियत</t>
  </si>
  <si>
    <t>गोङ खोला वालिङ चियाखेती सिंचाई योजना मकालु ६</t>
  </si>
  <si>
    <t>क़</t>
  </si>
  <si>
    <t>सवारी साधन</t>
  </si>
  <si>
    <t>0-नभएको</t>
  </si>
  <si>
    <t>1100001-नेपाल सरकार</t>
  </si>
  <si>
    <t>01-नगद</t>
  </si>
  <si>
    <t>तटबन्ध तथा बाँध निर्माण</t>
  </si>
  <si>
    <t>सिंचाई संरचना निर्माण</t>
  </si>
  <si>
    <t>पूँजीगत अनुसन्धान तथा परामर्श</t>
  </si>
  <si>
    <t>Showing 1 to 96 of 96 entries</t>
  </si>
  <si>
    <t>Previous</t>
  </si>
  <si>
    <t>Next</t>
  </si>
  <si>
    <t>जम्मा रकम141,000,000.00चौध करोड दस लाख रुपैंया मात्र</t>
  </si>
  <si>
    <t>11.3.2.2</t>
  </si>
  <si>
    <t>जीप खरीद</t>
  </si>
  <si>
    <t>अरूण नदि नियन्त्रण</t>
  </si>
  <si>
    <t>हिमालय किरण क्याम्पस खेल मैदान ब्यबस्थापन, खाँदबारी न.पा.</t>
  </si>
  <si>
    <t>राम मन्दि परिसर संरक्षण, मादी (माया खोला र पिलुवा खोला)</t>
  </si>
  <si>
    <t>मनकामना मन्दिर संरक्षण कार्य खाँदवारी ११</t>
  </si>
  <si>
    <t>11.4.13.72</t>
  </si>
  <si>
    <t>आकस्मिक बाढी/पहिरो व्यवस्थापन तथा निर्माण कार्य</t>
  </si>
  <si>
    <t>त्रीबेणी उच्च मा.बि . खेल मैदान संरक्षण, सभापोखरी गा.पा. बाह्रबिसे</t>
  </si>
  <si>
    <t>महेन्द्र मा.वि. जग्गा तथा खेला मैदान संरक्षण खाँदबारी नगरपालिका 03, माने भञ्ज्याङ्ग</t>
  </si>
  <si>
    <t>स्थानीय तहको लागि पहिरो नियन्त्रण</t>
  </si>
  <si>
    <t>कालीखोला सिंचार्इ योजना सिलीचोङ्ग ०२ संखुवासभा (३५ हे.)</t>
  </si>
  <si>
    <t>ठुटेखोला डुम्रेबेसी भीर कुलो ,धर्मदेवी ४</t>
  </si>
  <si>
    <t>केवा खोला फितुवा मालिभेग सिंचार्इ उप योजना आँखिभुर्इ ९, संखुवासभा</t>
  </si>
  <si>
    <t>केवा अँधेरी वाँसघारी करफोक फितुवा मालीभेग कुलो सिंचाई योजना, धर्मदेवी 0९</t>
  </si>
  <si>
    <t>रयाले बेसी सिंचार्इ योजना खा.न.पा ८, संखुवासभा (५० हे.)</t>
  </si>
  <si>
    <t>ढुङ्गढुङ्गे खोला सिरिङ्ग डाँडागाँउ सि.यो. चैनपुर 0१</t>
  </si>
  <si>
    <t>डुडवारी सिंयो. धर्मदेवी न.पा. 0३</t>
  </si>
  <si>
    <t>टुनिवोटे खोक्लिङ्ग अलैचीबारी सल्ले सि.यो. धर्मदेवी 0३</t>
  </si>
  <si>
    <t>कुसुवा खोला सिंचाई योजना, पाँचखपन नपा 0१</t>
  </si>
  <si>
    <t>अग्राखे सिंचाइ योजना खा.न.पा. 0६</t>
  </si>
  <si>
    <t>देविथान देखी चुलाचुली सम्म पक्की कुलो निर्माण पाचखपन 0१, मिलनचौक कटहरे</t>
  </si>
  <si>
    <t>माहाविर खोला करेसावारी सिंचाई योजना, धर्मदेवी 0१, तेलोक</t>
  </si>
  <si>
    <t>ओशाक खोला सिंचाई योजना, सिद्धकाली १,२ (४६)हे</t>
  </si>
  <si>
    <t>मारनी ढाँड कुलो सिंचार्इ योजना,धर्मदेवी २</t>
  </si>
  <si>
    <t>बेस्कु खोला सिंचार्इ योजना, बाला</t>
  </si>
  <si>
    <t>11.4.15.546</t>
  </si>
  <si>
    <t>अन्य सिंचाइ योजनाहरु</t>
  </si>
  <si>
    <t>पामाखोला मुहान भई अलैँचीबारी तल्लो माल्टा सिचाँई कुलो स्तरोन्नति संखुवासभा</t>
  </si>
  <si>
    <t>योजनाको निर्माण कार्य (सिंचाई प्रणालीको निर्माण)</t>
  </si>
  <si>
    <t>11.4.15.1628</t>
  </si>
  <si>
    <t>सेवाखोला सिचाई योजना चैनपुर ४, संखुवासभा</t>
  </si>
  <si>
    <t>साङ्गजु खोला राज कुलो सिंचाई योजना भोटखोला  03, हटिया</t>
  </si>
  <si>
    <t>देउराली सिंचाइ उपयोजन सभापोखरी 01, देउराली</t>
  </si>
  <si>
    <t>सुनपानी सिंचाई योजना, पाँचखपन नपा 0१ कुसुवा डाँडा गाँउ</t>
  </si>
  <si>
    <t>पाँमा खोला वडेरेनी सिंचाई योजना खा.न.पा. 0५</t>
  </si>
  <si>
    <t>भालु खोप नयाँ कुलो निर्माण योजना, धर्मदेवी 0२</t>
  </si>
  <si>
    <t>गोङ खोला वालिङ चिया खेति सिंचाइ योजना मकालु ६</t>
  </si>
  <si>
    <t>केवा बेशी सिँचाइ योजना, केवा बेशी,धर्मदेवी</t>
  </si>
  <si>
    <t>मइम कुलो सिंचाई उपआयोजना, माम्लिङ्ग</t>
  </si>
  <si>
    <t>खावा खोला चौरी खर्क सिंचाई योजना पाँचखपन ९</t>
  </si>
  <si>
    <t>छिङ्गखुवा खोला खोल्छी सिंचाइ योजना ताम्कु ३</t>
  </si>
  <si>
    <t>ठाडे खोला मुहान गरी पा.न.पा.02 माथिल्लो स्यावुन सिंचाई योजना, पाचखपन 0२</t>
  </si>
  <si>
    <t>चेवाखोला सिंचार्इ उप आयोजना सितलपाटी ०१ (खा.न.पा १०)संखुवासभा</t>
  </si>
  <si>
    <t>चाम्राङ्ग खोला सोलावन कुलो सिंचाइ योजना धर्मदेवी 0५</t>
  </si>
  <si>
    <t>भालु खोप सिं यो. धर्मदेवी 0२</t>
  </si>
  <si>
    <t>खेकुवा खोला मुहान गरी आरुबोटे ढुङ्गे बतासे सिँचाइ आयोजना, चैनपुर ४</t>
  </si>
  <si>
    <t>राज कुलो सिचाइ निर्माण , खाँदबारी ११</t>
  </si>
  <si>
    <t>11.4.15.1636</t>
  </si>
  <si>
    <t>यावाखोला तीन दोभाने हुँदै डाँडाखेत सिचाई योजना पाँचखपन ८, संखुवासभा</t>
  </si>
  <si>
    <t>नहर निर्माण कार्य (सिंचाई प्रणालीको निर्माण)</t>
  </si>
  <si>
    <t>वोक्ताङ्ग कुलो सिंचाई योजना, सिलिचोङ्ग 0३,</t>
  </si>
  <si>
    <t>चिङ्गखुवा खोला मुहान गरी चोरे चौकीबाउन मुल कुलो सिंचाई योजना, जलजला 0८</t>
  </si>
  <si>
    <t>11.4.15.1484</t>
  </si>
  <si>
    <t>क्षतिग्रस्त सिंचाई संरचना मर्मत सम्भार कार्यहरु</t>
  </si>
  <si>
    <t>11.4.15.100</t>
  </si>
  <si>
    <t>स्यावा खोला सिंचाई योजना, चैनपुर नपा १ र २</t>
  </si>
  <si>
    <t>मुलुवा खोला रूपने योजना सिंचार्इ योजना आँखीभुर्इ ७, संखुवासभा (१०० हे.)</t>
  </si>
  <si>
    <t>ठुटेखोला पीत्लाङ बेसी जाने कुलो, धर्मदेवी ४</t>
  </si>
  <si>
    <t>जोरखोला सिंचार्इ योजना, मकालु ३</t>
  </si>
  <si>
    <t>साक्मा सिंचाइ उप आयोजना आँखिभुर्इ ९, संखुवासभा</t>
  </si>
  <si>
    <t>ठाडे खोला सिं यो. मादी न.पा 0८</t>
  </si>
  <si>
    <t>कुमाल्नि खोला वाइस्झोरे सिं यो. धर्मदेवी 0३</t>
  </si>
  <si>
    <t>हाँदुवा खोला सिंचाई योजना, पाँचखपन नपा 0२</t>
  </si>
  <si>
    <t>दोभाने मुहान गरी हलेदेसेरावेसी भैसे दिप्लेटार सिंचाई योजना, पाचखपन ४,५</t>
  </si>
  <si>
    <t>एक्ले वेसी टुडिखेल खमारेदेवी घर सिम्ले हलेदीवेसी सिंचाई योजना, पाँचखपन 0५</t>
  </si>
  <si>
    <t>तल्लो चिङ्गखुवा सिंचाई योजना पाचखपन 0८, जलजला</t>
  </si>
  <si>
    <t>भालु खोला सिचाइ योजना , खा.न.पा १०</t>
  </si>
  <si>
    <t>मायाखोला माम्लिङ हुदै आँखिभुर्इ सिचfइ योजना</t>
  </si>
  <si>
    <t>योजना पहिचान गर्ने कार्य</t>
  </si>
  <si>
    <t>वाघा खोला मुहान भइ ढाँडे गाँउ सिमारी कुलुङ्ग सिंचाई योजना मादी</t>
  </si>
  <si>
    <t>ठुटेखोला याख्खाचोक छेउहुदै च्यानडाँडा हुर्पा बेसीकुलो,धर्मदेवी ४</t>
  </si>
  <si>
    <t>मेटेमारा मिखिलिङ्ग सिं. यो.,धर्मदेवी २</t>
  </si>
  <si>
    <t>एकुवा खोला कुलो सिंचाई योजना थाक्राम फेदी मकालु</t>
  </si>
  <si>
    <t>पाडरेनाके डाँडा सिंचाई योजना धर्मदेवी 0८</t>
  </si>
  <si>
    <t>कुसुवा खोला मुहान गरी सिम्लेनिपाने तल्लो सिंचाई योजना पाँचखपन 0१</t>
  </si>
  <si>
    <t>झुत्रा तुपुवा खोला सिंचाई योजना चैनपुर ४ देखी ७</t>
  </si>
  <si>
    <t>माम्लिङ सल्लेपुछार तिरतिरे कुलो,धर्मदेवी ४</t>
  </si>
  <si>
    <t>चामराङ्ग खोला ‌ओखरवोटे डाँडा सि.यो. धर्मदेवी 0५</t>
  </si>
  <si>
    <t>कुसुवा खोला सिस्ने मुहान गरी कैजाले मुढे सिंचाई योजना पाँचखपन 0१</t>
  </si>
  <si>
    <t>बेतेनी खोला सिचाइ योजना, खा.न.पा.</t>
  </si>
  <si>
    <t>पांमा खोला तथा पिरिमा कुलो संयुक्त सिंचाइ प्रणालि खा.न.पा. ७ संखुवासभा</t>
  </si>
  <si>
    <t>11.4.15.1637</t>
  </si>
  <si>
    <t>चिङखुवा खोला मुहान गरी सुनरौटी अम्वटे कोकले मादेउमाणी सिचाई योजना पाँचखपन ७, संखुवासभा</t>
  </si>
  <si>
    <t>मेन पाइप तथा एसेसरिज खरिद तथा जडान कार्य (सिचाइ प्रणालीको निर्माण</t>
  </si>
  <si>
    <t>योगी डाँडा पांठा माल्टा खोला खिप्रीङ्ग पुछार मुहान खानपा ६</t>
  </si>
  <si>
    <t>लेलुवा फोहोरा सिंचाई योजना , खाँदबारी ५</t>
  </si>
  <si>
    <t>11.4.15.1102</t>
  </si>
  <si>
    <t>पाङमा खोला सिंचाई योजना, खा.न.पा.७ माल्टा, संखुवासभा</t>
  </si>
  <si>
    <t>11.5.28.1</t>
  </si>
  <si>
    <t>सिचाइ सम्बन्धि अनुसन्धान तथा परामर्श खर्च</t>
  </si>
  <si>
    <t>जीप खरीद (सवारी साधन)</t>
  </si>
  <si>
    <t>आकस्मिक बाढी/पहिरो व्यवस्थापन तथा निर्माण कार्य (बाँध निर्माण कार्य)</t>
  </si>
  <si>
    <t>अरूण नदि नियन्त्रण (नदी नियन्त्रण सम्बन्धी कार्य)</t>
  </si>
  <si>
    <t>हेवा खोला नियन्त्रण (नदी नियन्त्रण सम्बन्धी कार्य)</t>
  </si>
  <si>
    <t>हिमालय किरण क्याम्पस खेल मैदान ब्यबस्थापन, खाँदबारी न.पा. (नदी नियन्त्रण सम्बन्धी कार्य)</t>
  </si>
  <si>
    <t>त्रीबेणी उच्च मा.बि . खेल मैदान संरक्षण, सभापोखरी गा.पा. बाह्रबिसे (नदी नियन्त्रण सम्बन्धी कार्य)</t>
  </si>
  <si>
    <t>राम मन्दि परिसर संरक्षण, मादी (माया खोला र पिलुवा खोला)/(नदी नियन्त्रण सम्बन्धी कार्य)</t>
  </si>
  <si>
    <t>महेन्द्र मा.वि. जग्गा तथा खेला मैदान संरक्षण खाँदबारी नगरपालिका 03, माने भञ्ज्याङ्ग (नदी नियन्त्रण सम्बन्धी कार्य)</t>
  </si>
  <si>
    <t>मनकामना मन्दिर संरक्षण कार्य खाँदवारी ११ (नदी नियन्त्रण सम्बन्धी कार्य)</t>
  </si>
  <si>
    <t>स्थानीय तहको लागि पहिरो नियन्त्रण (नदी नियन्त्रण सम्बन्धी कार्य)</t>
  </si>
  <si>
    <t>योजना पहिचान गर्ने कार्य (सिंचाइ प्रणालीको निर्माण)</t>
  </si>
  <si>
    <t>साध्ने बोजेनीमा पोखरी निर्माण, धर्मदेवी नगरपालिका (सिंचाइ प्रणालीको निर्माण)</t>
  </si>
  <si>
    <t>मेन पाइप तथा एसेसरिज खरिद तथा जडान कार्य (सिंचाइ प्रणालीको निर्माण)</t>
  </si>
  <si>
    <t>नेवार गाउँ सोलार लिफ्ट सिंचाई योजना खाँ.न.पा. ९ (सिंचाइ प्रणालीको निर्माण)</t>
  </si>
  <si>
    <t>सापमारे छाङ्गे फोहोरा सिंचाई योजना चैनपुर १ (सिंचाइ प्रणालीको निर्माण)</t>
  </si>
  <si>
    <t>गुरुङ्ग गाउँ फोहोरा सिंचाइ योजना, खाँ.न.पा. 05 (सिंचाइ प्रणालीको निर्माण)</t>
  </si>
  <si>
    <t>पाँठा कामधेनु फोहोरा सिंचाइ योजना, खाँदबरी 05 (सिंचाइ प्रणालीको निर्माण)</t>
  </si>
  <si>
    <t>घोरेटार गौरीगाउँ सोलार लिफ्ट सिंचाइ योजना, चैनपुर (सिंचाइ प्रणालीको निर्माण)</t>
  </si>
  <si>
    <t>बरगाछी रानागाउँ सिं. योजना, चैनपुर 11 (सिंचाई प्रणालीको निर्माण)</t>
  </si>
  <si>
    <t>अरुण खोला रयलेवेशी सिंचाइ योजना खाँदबारी 08 (सिंचाई प्रणालीको निर्माण)</t>
  </si>
  <si>
    <t>साँघुरी टोल विकास संस्था खाँदबारी 09, तुम्लिङ्गटार (सिंचाइ प्रणाली निर्माण)</t>
  </si>
  <si>
    <t>मकालु टोल विकास संस्था, खाँदबारी 09, तुम्लिङ्गटार (सिंचाई प्रणालीको निर्माण)</t>
  </si>
  <si>
    <t>मंगलादेवी टोल विकास संस्था, खाँदबारी 09, तुम्लिङ्गटार (सिंचाई प्रणालीको निर्माण)</t>
  </si>
  <si>
    <t>हलिदे टोल विकास संस्था, खाँदबारी 09, तुम्लिङ्गटार (सिंचाई प्रणालीको निर्माण)</t>
  </si>
  <si>
    <t>बैधेगाउँ टोल विकास संस्था, खाँदबारी 09, तुम्लिङ्गटार (सिंचाई प्रणालीको निर्माण)</t>
  </si>
  <si>
    <t>हानीटार आरुबोटे सिंचाइ योजना खाँदबारी 03 (सिंचाई प्रणालीको निर्माण)</t>
  </si>
  <si>
    <t>ढुङ्गढुङ्गे डढेली फोहोरा सिंचाइ योजना, चैनपुर 01 (सिंचाई प्रणालीको निर्माण)</t>
  </si>
  <si>
    <t>कुशुवा खोला नागदह सिंचाइ योजना, स्याबुन ८ (100) (सिंचाई प्रणालीको निर्माण)</t>
  </si>
  <si>
    <r>
      <t>प्रदेश सरकार तथा संघ ससर्त अनुदान तर्फ आ.व.०७७</t>
    </r>
    <r>
      <rPr>
        <b/>
        <sz val="11"/>
        <rFont val="Calibri"/>
        <family val="2"/>
      </rPr>
      <t>∕</t>
    </r>
    <r>
      <rPr>
        <b/>
        <sz val="11"/>
        <rFont val="Kalimati"/>
        <charset val="1"/>
      </rPr>
      <t xml:space="preserve">०७८को  वजेट तथा कार्यक्रमको कार्य विभाजन </t>
    </r>
  </si>
  <si>
    <r>
      <t>सि</t>
    </r>
    <r>
      <rPr>
        <b/>
        <sz val="12"/>
        <color theme="1"/>
        <rFont val="Calibri"/>
        <family val="1"/>
        <scheme val="minor"/>
      </rPr>
      <t>.</t>
    </r>
    <r>
      <rPr>
        <b/>
        <sz val="12"/>
        <color theme="1"/>
        <rFont val="Kalimati"/>
        <charset val="1"/>
      </rPr>
      <t xml:space="preserve"> नं</t>
    </r>
    <r>
      <rPr>
        <b/>
        <sz val="12"/>
        <color theme="1"/>
        <rFont val="Calibri"/>
        <family val="2"/>
      </rPr>
      <t>∙</t>
    </r>
  </si>
  <si>
    <t>विवरण</t>
  </si>
  <si>
    <r>
      <t>०७७/०७८ वजेट</t>
    </r>
    <r>
      <rPr>
        <b/>
        <sz val="11"/>
        <color theme="1"/>
        <rFont val="Calibri"/>
        <family val="1"/>
        <scheme val="minor"/>
      </rPr>
      <t>,</t>
    </r>
    <r>
      <rPr>
        <b/>
        <sz val="11"/>
        <color theme="1"/>
        <rFont val="Calibri"/>
        <family val="2"/>
      </rPr>
      <t>000</t>
    </r>
  </si>
  <si>
    <t>जिम्मेवारी बहनकर्ता</t>
  </si>
  <si>
    <t>संशोधित बजेट</t>
  </si>
  <si>
    <t>ई. सोमराज  बज्राचार्य</t>
  </si>
  <si>
    <t>ई. सोमराज  बज्राचार्य/ई. अजय मण्डल</t>
  </si>
  <si>
    <t>मनकामना मन्दिर संरक्षण कार्य खाँदबारी न पा 9</t>
  </si>
  <si>
    <t>त्रिवेणी उ. मा. बि. खेलमैदान संरक्षण सभापोखरी गा पा</t>
  </si>
  <si>
    <t>राम मन्दिर परिषर संरक्षण मादी , (मायाखोला र पिलुवा खोला) नदि  नियन्त्रण सम्वन्धि कार्य</t>
  </si>
  <si>
    <t>आकस्मिक वाढि पहिरो ब्यवस्थापन तथा निर्माण</t>
  </si>
  <si>
    <t>ई. अजय मण्डल</t>
  </si>
  <si>
    <t xml:space="preserve"> नयाँ प्रविधिमा आधारित सिचाई योजना (प्रदेश सरकार)</t>
  </si>
  <si>
    <t>साँधने बोजेनीमा पोखरी निर्माण धर्मदेबी न पा ६</t>
  </si>
  <si>
    <t>मझौला सिचाई योजना (प्रदेश सरकार)</t>
  </si>
  <si>
    <t>कुसुवा खोला नागदह सिंचाइ योजना पाँचखपन १,२</t>
  </si>
  <si>
    <t>कुशुवा खोला मुहानगरी कैजले मुडे सिंचाई योजना पाँचखपन १</t>
  </si>
  <si>
    <t>चिङ्खुवा खोला मुहान गरी चोरचौकी बाबुन मुलकुलो सिंचाइ योजना पाँचखपन न पा ७</t>
  </si>
  <si>
    <t>यावा खोला तीनदोभाने डाँडाखेत सिंचाइ यो. पाँचखपन २</t>
  </si>
  <si>
    <t>चिङ्खुवा खोला मुहान गरी सुनरौटी अम्बोटे कोकले मा देउमाडी सिंचाइ योजना पाँचखपन न पा ७</t>
  </si>
  <si>
    <t>‌ओसाक खोला सिंचाई योजना चैनपुर न पा १,२</t>
  </si>
  <si>
    <t>स्यावा खोला सिंचाई योजना चैनपुर न पा १,२</t>
  </si>
  <si>
    <t>झुत्रा तुपुवा खोला सिंचाई योजना चैनपुर न पा ४ देखी,७</t>
  </si>
  <si>
    <t xml:space="preserve">सेवा खोला सिंचाई योजना चैनपुर न पा ४ </t>
  </si>
  <si>
    <t>साक्मा  सिंचाइ उप-योजना आँखीभुई ९</t>
  </si>
  <si>
    <t>केवा बेँसी सिंचाइ योजना केवाबेँसी धर्मदेबी ८</t>
  </si>
  <si>
    <t>पाडारेनाकेडाँडा सिंचाइ उप-योजना  धर्मदेबी ८</t>
  </si>
  <si>
    <t>महाँबिर खोला करेसाबारी सिंचाई योजना धर्मदेबी १ तेल्लोक</t>
  </si>
  <si>
    <t>पाँमा खोला सिंचाई योजना खाँदबारी ५</t>
  </si>
  <si>
    <t>पाँमा खोला बडरेनी सिंचाई योजना खाँदबारी ७,१</t>
  </si>
  <si>
    <t>भालु खोला सिंचाई योजना खाँदबारी न पा १1</t>
  </si>
  <si>
    <t xml:space="preserve"> योगीडाँडाँ पांठा माल्टा खोला खिप्रिग पुछार मुहान सिं.यो. खा.न.पा.६</t>
  </si>
  <si>
    <t>पाँमा खोला मुहान भई अलैंचीबारी तल्लोमाल्टा सिंचाई कुलो स्तरोन्नती खाँदबारी 5</t>
  </si>
  <si>
    <t>क्षतिग्रस्त  सिंचाई संरचना मर्मत सम्भार कार्यहरु</t>
  </si>
  <si>
    <t>अन्य सिंचाइ योजना</t>
  </si>
  <si>
    <t>योजना पहिचान सर्भे</t>
  </si>
  <si>
    <t>योजना विस्तृत  सर्भे</t>
  </si>
  <si>
    <t>जिप खरीद</t>
  </si>
  <si>
    <t>समुदाय  ब्यबस्थित सिंचित कृषि क्षेत्र आयोजना (CMIASP-AF)</t>
  </si>
  <si>
    <t>11.4.15.1596</t>
  </si>
  <si>
    <t>माल्टा खोला डुङडुङे मुहान आकाशे सिंचाई उप-आयोजना खा.न.पा. ६ हिंगुवा</t>
  </si>
  <si>
    <t>कुल जम्मा रु</t>
  </si>
  <si>
    <t>लाहाचुङ सिंचाइ योजना आँखिभुई (350) (सिंचाई प्रणालीको निर्माण)</t>
  </si>
  <si>
    <t>‌ओसाक खोला सिंचाई योजना, सिद्धकाली 1,2 (46 हे.) (सिंचाई प्रणालीको निर्माण)</t>
  </si>
  <si>
    <t>स्यावा खोला सिंचाई योजना, चैनपुर न पा १,२ (सिंचाई प्रणालीको निर्माण)</t>
  </si>
  <si>
    <t>झुत्रा तुपुवा खोला सिंचाई योजना चैनपुर न पा ४ देखी ७ (सिंचाई प्रणालीको निर्माण)</t>
  </si>
  <si>
    <t>बाघा खोला मुहान भई ढाँडेगाउँ सिमारी कुलुङ्ग सिंचाइ योजना मादी (सिंचाई प्रणालीको निर्माण)</t>
  </si>
  <si>
    <t>11.15.103</t>
  </si>
  <si>
    <t>काली खोला सिंचाइ योजना सिलिचुङ २ संखुवासभा (35 हे.) (सिंचाई प्रणालीको निर्माण)</t>
  </si>
  <si>
    <t>चेवा खोला सिंचाइ उप-आयोजना सितलपाटी 01 (खा.न.पा.10) सखुंवासभा (सिंचाई प्रणालीको निर्माण)</t>
  </si>
  <si>
    <t>रयाले बेँसी सिंचाइ योजना खा.न.पा. ८ सखुवासभा (50 हे.) (सिंचाई प्रणालीको निर्माण)</t>
  </si>
  <si>
    <t>मुलुक खोला रुपने योजना सिंचाइ योजना आँखीभुइ 7, संखुवासभा (100 हे.) (सिंचाई प्रणालीको निर्माण)</t>
  </si>
  <si>
    <t>मारनी ढाँड कुलो सिंचाइ योजना, धर्मदेवी 02 (सिंचाई प्रणालीको निर्माण)</t>
  </si>
  <si>
    <t>ठुटेखोला ढुम्रेबेँसी भिरकुलो, धर्मदेबी ४ (सिंचाई प्रणालीको निर्माण)</t>
  </si>
  <si>
    <t>ठुटेखोला याख्खाचोक छेउहुँदै च्यानडाँडा हुर्पाबेँसी कुलो, धर्मदेबी ४ (सिंचाई प्रणालीको निर्माण)</t>
  </si>
  <si>
    <t>पाङ्गमा खोला सिंचाइ योजना खा.न.पा. 7 माल्टा, संखुवासभा (सिंचाई प्रणालीको निर्माण)</t>
  </si>
  <si>
    <t>ठुटेखोला पीत्लाङ बेँसी जाने कुलो,  धर्मदेबी ४ (सिंचाई प्रणालीको निर्माण)</t>
  </si>
  <si>
    <t>माम्लिङ सल्लेपुछार तिरतिरे कुलो, धर्मदेबी ४ (सिंचाई प्रणालीको निर्माण)</t>
  </si>
  <si>
    <t>मेटेमारा मिखिलिङ सिंचाइ योजना, धर्मदेबी २ (सिंचाई प्रणालीको निर्माण)</t>
  </si>
  <si>
    <t>बेस्कु खोला सिंचाइ योजना, बाला (सिंचाई प्रणालीको निर्माण)</t>
  </si>
  <si>
    <t>जोरखोला सिंचार्इ योजना, मकालु ३ (सिंचाई प्रणालीको निर्माण)</t>
  </si>
  <si>
    <t>11.4.15.11७</t>
  </si>
  <si>
    <t>साङ्गजु खोला राज कुलो सिंचाई योजना भोटखोला 03, हटिया (सिंचाई प्रणालीको निर्माण)</t>
  </si>
  <si>
    <t>साक्मा सिंचाइ उप आयोजना आँखिभुर्इ ९, संखुवासभा (सिंचाई प्रणालीको निर्माण)</t>
  </si>
  <si>
    <t>केवा खोला फितुवा मालिभेग सिंचार्इ उप योजना आँखिभुर्इ ९, संखुवासभा (सिंचाई प्रणालीको निर्माण)</t>
  </si>
  <si>
    <t>केवा बेशी सिँचाइ योजना, केवा बेशी, धर्मदेवी (सिंचाई प्रणालीको निर्माण)</t>
  </si>
  <si>
    <t>मइम कुलो सिंचाई उपआयोजना, माम्लिङ्ग (सिंचाई प्रणालीको निर्माण)</t>
  </si>
  <si>
    <t>खावा खोला चौरी खर्क सिंचाई योजना पाँचखपन ९ (सिंचाई प्रणालीको निर्माण)</t>
  </si>
  <si>
    <t>छिङ्गखुवा खोला खोल्छी सिंचाइ योजना ताम्कु ३ (सिंचाई प्रणालीको निर्माण)</t>
  </si>
  <si>
    <t>एकुवा खोला कुलो सिंचाई योजना थाक्राम फेदी मकालु (सिंचाई प्रणालीको निर्माण)</t>
  </si>
  <si>
    <t>चाम्राङ्ग खोला सोलावन कुलो सिंचाइ योजना धर्मदेवी 0५ (सिंचाई प्रणालीको निर्माण)</t>
  </si>
  <si>
    <t>पाडरेनाके डाँडा सिंचाई योजना धर्मदेवी 0८ (सिंचाई प्रणालीको निर्माण)</t>
  </si>
  <si>
    <t>देउराली सिंचाइ उपयोजना सभापोखरी 01, देउराली (सिंचाई प्रणालीको निर्माण)</t>
  </si>
  <si>
    <t>11.4.15.148</t>
  </si>
  <si>
    <t>क्षतिग्रस्त सिंचाई संरचना मर्मत सम्भार कार्यहरु (सिंचाई प्रणालीको निर्माण)</t>
  </si>
  <si>
    <t>चामराङ्ग खोला ‌ओखरवोटे डाँडा सि.यो. धर्मदेवी 0५ (सिंचाई प्रणालीको निर्माण)</t>
  </si>
  <si>
    <t>भालु खोप सिं यो. धर्मदेवी 0२ (सिंचाई प्रणालीको निर्माण)</t>
  </si>
  <si>
    <t>ढुङ्गढुङ्गे खोला सिरिङ्ग डाँडागाँउ सि.यो. चैनपुर 0१ (सिंचाई प्रणालीको निर्माण)</t>
  </si>
  <si>
    <t>ठाडे खोला सिं यो. मादी न.पा 0८ (सिंचाई प्रणालीको निर्माण)</t>
  </si>
  <si>
    <t>डुडवारी सिंयो. धर्मदेवी न.पा. 0३ (सिंचाई प्रणालीको निर्माण)</t>
  </si>
  <si>
    <t>टुनिवोटे खोक्लिङ्ग अलैचीबारी सल्ले सि.यो. धर्मदेवी 0३ (सिंचाई प्रणालीको निर्माण)</t>
  </si>
  <si>
    <t>कुमाल्नि खोला वाइस्झोरे सिं यो. धर्मदेवी 0३ (सिंचाई प्रणालीको निर्माण)</t>
  </si>
  <si>
    <t>सेवाखोला सिचाई योजना चैनपुर ४, संखुवासभा (सिंचाई प्रणालीको निर्माण)</t>
  </si>
  <si>
    <t>कुसुवा खोला सिंचाई योजना, पाँचखपन नपा 0१ (सिंचाई प्रणालीको निर्माण)</t>
  </si>
  <si>
    <t>11.4.15.162.8</t>
  </si>
  <si>
    <t>11.4.15.163.6</t>
  </si>
  <si>
    <t>यावाखोला तीन दोभाने हुँदै डाँडाखेत सिचाई योजना पाँचखपन ८, संखुवासभा (सिंचाई प्रणालीको निर्माण)</t>
  </si>
  <si>
    <t>11.4.15.163.7</t>
  </si>
  <si>
    <t>चिङखुवा खोला मुहान गरी सुनरौटी अम्वटे कोकले मादेउमाणी सिचाई योजना पाँचखपन ७, संखुवासभा (सिंचाई प्रणालीको निर्माण)</t>
  </si>
  <si>
    <t>अग्राखे सिंचाइ योजना खा.न.पा. 0६ (सिंचाई प्रणालीको निर्माण)</t>
  </si>
  <si>
    <t>हाँदुवा खोला सिंचाई योजना, पाँचखपन नपा 0२ (सिंचाई प्रणालीको निर्माण)</t>
  </si>
  <si>
    <t>सुनपानी सिंचाई योजना, पाँचखपन नपा 0१ कुसुवा डाँडा गाँउ (सिंचाई प्रणालीको निर्माण)</t>
  </si>
  <si>
    <t>ठाडे खोला मुहान गरी पा.न.पा.02 माथिल्लो स्यावुन सिंचाई योजना, पाचखपन 0२ (सिंचाई प्रणालीको निर्माण)</t>
  </si>
  <si>
    <t>देविथान देखी चुलाचुली सम्म पक्की कुलो निर्माण पाचखपन 0१, मिलनचौक कटहरे (सिंचाई प्रणालीको निर्माण)</t>
  </si>
  <si>
    <t>कुसुवा खोला मुहान गरी सिम्लेनिपाने तल्लो सिंचाई योजना पाँचखपन 0१ (सिंचाई प्रणालीको निर्माण)</t>
  </si>
  <si>
    <t>कुसुवा खोला सिस्ने मुहान गरी कैजाले मुढे सिंचाई योजना पाँचखपन 0१ (सिंचाई प्रणालीको निर्माण)</t>
  </si>
  <si>
    <t>पाँमा खोला वडेरेनी सिंचाई योजना खा.न.पा. 0५ (सिंचाई प्रणालीको निर्माण)</t>
  </si>
  <si>
    <t>माहाविर खोला करेसावारी सिंचाई योजना, धर्मदेवी 0१, तेलोक (सिंचाई प्रणालीको निर्माण)</t>
  </si>
  <si>
    <t>वोक्ताङ्ग कुलो सिंचाई योजना, सिलिचोङ्ग 0३, (सिंचाई प्रणालीको निर्माण)</t>
  </si>
  <si>
    <t>दोभाने मुहान गरी हलेदेसेरावेसी भैसे दिप्लेटार सिंचाई योजना, पाचखपन ४,५ (सिंचाई प्रणालीको निर्माण)</t>
  </si>
  <si>
    <t>भालु खोप नयाँ कुलो निर्माण योजना, धर्मदेवी 0२ (सिंचाई प्रणालीको निर्माण)</t>
  </si>
  <si>
    <t>एक्ले वेसी टुडिखेल खमारेदेवी घर सिम्ले हलेदीवेसी सिंचाई योजना, पाँचखपन 0५ (सिंचाई प्रणालीको निर्माण)</t>
  </si>
  <si>
    <t>चिङ्गखुवा खोला मुहान गरी चोरे चौकीबाउन मुल कुलो सिंचाई योजना, जलजला 0८ (सिंचाई प्रणालीको निर्माण)</t>
  </si>
  <si>
    <t>केवा अँधेरी वाँसघारी करफोक फितुवा मालीभेग कुलो सिंचाई योजना, धर्मदेवी 0९ (सिंचाई प्रणालीको निर्माण)</t>
  </si>
  <si>
    <t>तल्लो चिङ्गखुवा सिंचाई योजना पाचखपन 0८, जलजला (सिंचाई प्रणालीको निर्माण)</t>
  </si>
  <si>
    <t>भालु खोला सिचाइ योजना , खा.न.पा १० (सिंचाई प्रणालीको निर्माण)</t>
  </si>
  <si>
    <t>बेतेनी खोला सिचाइ योजना, खा.न.पा. (सिंचाई प्रणालीको निर्माण)</t>
  </si>
  <si>
    <t>मायाखोला माम्लिङ हुदै आँखिभुर्इ सिचfइ योजना (सिंचाई प्रणालीको निर्माण)</t>
  </si>
  <si>
    <t>गोङ खोला वालिङ चिया खेति सिंचाइ योजना मकालु ६ (सिंचाई प्रणालीको निर्माण)</t>
  </si>
  <si>
    <t>पांमा खोला तथा पिरिमा कुलो संयुक्त सिंचाइ प्रणालि खा.न.पा. ७ संखुवासभा (सिंचाई प्रणालीको निर्माण)</t>
  </si>
  <si>
    <t>अन्य सिंचाइ योजनाहरु (सिंचाई प्रणालीको निर्माण)</t>
  </si>
  <si>
    <t>योगी डाँडा पांठा माल्टा खोला खिप्रीङ्ग पुछार मुहान खानपा ६ (सिंचाई प्रणालीको निर्माण)</t>
  </si>
  <si>
    <t>खेकुवा खोला मुहान गरी आरुबोटे ढुङ्गे बतासे सिँचाइ आयोजना, चैनपुर ४ (सिंचाई प्रणालीको निर्माण)</t>
  </si>
  <si>
    <t>राज कुलो सिचाइ निर्माण , खाँदबारी ११ (सिंचाई प्रणालीको निर्माण)</t>
  </si>
  <si>
    <t>लेलुवा फोहोरा सिंचाई योजना , खाँदबारी ५ (सिंचाई प्रणालीको निर्माण)</t>
  </si>
  <si>
    <t>पामाखोला मुहान भई अलैँचीबारी तल्लो माल्टा सिचाँई कुलो स्तरोन्नति संखुवासभा (सिंचाई प्रणालीको निर्माण)</t>
  </si>
  <si>
    <t>सिचाइ सम्बन्धि अनुसन्धान तथा परामर्श खर्च (सिंचाइ तथा नदी नियन्त्रण सम्बन्धी अनुसन्धान तथा परामर्श)</t>
  </si>
  <si>
    <t>क)</t>
  </si>
  <si>
    <t>पूजिँगत खर्च कार्यक्रमको जम्माः</t>
  </si>
  <si>
    <t>तयार गर्नेको नाम पद र दस्तखतः</t>
  </si>
  <si>
    <t>मितिः</t>
  </si>
  <si>
    <t>क्र.सं.</t>
  </si>
  <si>
    <t>कार्यक्रम/क्रियाकलाप</t>
  </si>
  <si>
    <t>इकाई</t>
  </si>
  <si>
    <t>आयोजनाको कुल क्रियाकलापको</t>
  </si>
  <si>
    <t>कुल जम्मा खर्चः</t>
  </si>
  <si>
    <t>भार</t>
  </si>
  <si>
    <t>बजेट</t>
  </si>
  <si>
    <t>सम्पूर्ण कार्य मध्ये गत आ.व. सम्मको</t>
  </si>
  <si>
    <t>बार्षिक लक्ष्य</t>
  </si>
  <si>
    <t>सूचक</t>
  </si>
  <si>
    <t>प्रथम चौमासिक सम्मको लक्ष्य</t>
  </si>
  <si>
    <t>प्रथम चौमासिक सम्मको भौतिक प्रगति</t>
  </si>
  <si>
    <t>दोश्रो चौमासिक सम्मको लक्ष्य</t>
  </si>
  <si>
    <t>दोश्रो चौमासिक सम्मको भौतिक प्रगति</t>
  </si>
  <si>
    <t>तेश्रो चौमासिक सम्मको भौतिक प्रगति</t>
  </si>
  <si>
    <t>तेश्रो चौमासिक सम्मको लक्ष्य</t>
  </si>
  <si>
    <t>प्रगति अवधि सम्म यस आ.व. को प्रगति</t>
  </si>
  <si>
    <t>आयोजनाको कूलमध्ये हालसम्म</t>
  </si>
  <si>
    <t>प्रमाणित गर्नेको नाम पद र दस्तखतः</t>
  </si>
  <si>
    <t>1. आ.व. 077/78</t>
  </si>
  <si>
    <t>2. बजेट उपशिर्षक नं. 33703011</t>
  </si>
  <si>
    <t>3. मंत्रालयः भौतिक पूर्वाधार विकास मंत्रालय</t>
  </si>
  <si>
    <t>4. विभाग/संस्थाको नामः जलश्रोत तथा सिंचाइ विकास डिभिजन, संखुवासभा</t>
  </si>
  <si>
    <t>5. कार्यक्रम/आयोजनाको नामः जलश्रोत तथा सिंचाइ विकास डिभिजनहरु</t>
  </si>
  <si>
    <t>6. स्थान (क) जिल्लाः संखुवासभा</t>
  </si>
  <si>
    <t>6. आयोजना/कार्यालय प्रमूखको नामः रणजीत कुमार झा</t>
  </si>
  <si>
    <t>7. यस अवधिको बजेट रु.</t>
  </si>
  <si>
    <t>क) आन्तरिक (1) नेपाल सरकार</t>
  </si>
  <si>
    <t xml:space="preserve">            (2) जनसहभागिता</t>
  </si>
  <si>
    <t>ख) वैदेशिक  (1) ऋण</t>
  </si>
  <si>
    <t xml:space="preserve">           (2) अनुदान</t>
  </si>
  <si>
    <t>अनूसूचि 8(ख)</t>
  </si>
  <si>
    <t>प्रथम चौमासिक प्रगति प्रतिवेदन</t>
  </si>
  <si>
    <t>7. यस अवधिको खर्च रु.</t>
  </si>
  <si>
    <t xml:space="preserve">             2) स्थानिय निकाय/संस्था</t>
  </si>
  <si>
    <t>ख) वैदेशिक 1) ऋणः</t>
  </si>
  <si>
    <t xml:space="preserve">            2) अनुदानः</t>
  </si>
  <si>
    <t>8) चौमासिक/वार्षिक बजेटको तुलनामा खर्च प्रतिशत</t>
  </si>
  <si>
    <t>9) शुरुदेखि यस अवधिसम्मको कूल खर्च प्रतिशत (कूल लागतको तूलनामा)</t>
  </si>
  <si>
    <t>10) वितेको समय प्रतिशतमा  (कूल अवधिको तूलनामा)</t>
  </si>
  <si>
    <t xml:space="preserve">11) शुरुदेखि यस अवधि सम्मको भौतिक प्रगति प्रतिशत </t>
  </si>
  <si>
    <t xml:space="preserve">     3) जनसहभागिताः</t>
  </si>
  <si>
    <t>वटा</t>
  </si>
  <si>
    <t>पटक/संख्या</t>
  </si>
  <si>
    <t>कि.मी.</t>
  </si>
  <si>
    <t>प्र.श.</t>
  </si>
  <si>
    <t>(नियम 21 को उपनियम (2) र नियम 26 संग सम्बन्धित</t>
  </si>
  <si>
    <t>अनुसूचि 3</t>
  </si>
  <si>
    <t>जलश्रोत तथा सिंचाइ विकास डिभिजन कार्यालय, संखुवासभा</t>
  </si>
  <si>
    <t>आ.व. 2077/78 को प्रथम चौमासिक अवधिसम्मको लक्ष्य प्रगति बिवरण</t>
  </si>
  <si>
    <t>(रकम रु. हजारमा)</t>
  </si>
  <si>
    <t>प्रथम चौमासिक सम्मको खर्च</t>
  </si>
  <si>
    <t>रकम रु.</t>
  </si>
  <si>
    <t>प्रतिशत</t>
  </si>
  <si>
    <t xml:space="preserve">बजेट उपशिर्षक नं. </t>
  </si>
  <si>
    <t>मुलुवा खोला रुपने योजना सिंचाइ योजना आँखीभुइ 7, संखुवासभा (100 हे.) (सिंचाई प्रणालीको निर्माण)</t>
  </si>
  <si>
    <t>संखुवासभा जिल्लामा अत्याधिक वर्षाका कारण बाढि  र पहिरोको समस्या आएको,   कार्यालयमा जनशक्ति तथा यातायातको साधन अभाव र मन्त्रालयवाट समय समयमा प्राप्त भएका  निर्देशनहरुका कारण मांगको आधारमा संचालन गर्नुपर्ने योजनाहरुको छनौट र लागत अनुमान सहितको प्याकेज तैयार पार्ननै धेरै समय लाग्न गएकोले  प्रथम चौमसिकमा लक्ष्य अनुसार भौतिक प्रगति हासिल नभएको  भएतापनि उपरोक्त समस्याका वावजुद चालु आ.ब.मा कार्यान्वयन गरीने ७० प्रतिशत  योजनाहरुको लागत अनुमान तैयार भइ सझौताको चरणमा रहेकोले प्रथम चौमिसकमा लक्ष्य अनुसार भौतिक तथा वित्तिय प्रगती हासिल नभएतापनी दोश्रो चौमासिक सम्ममा लक्ष्य अनुसार भौतिक तथा वित्तिय प्रगती दुवै हासिल हुने</t>
  </si>
  <si>
    <t>हानीमार आरुबोटे सिंचाइ योजना खाँदबारी 03 (सिंचाई प्रणालीको निर्माण)</t>
  </si>
  <si>
    <t>दोश्रो चौमासिक सम्मको खर्च</t>
  </si>
  <si>
    <t>(रकम रु. लाखमा)</t>
  </si>
  <si>
    <r>
      <t xml:space="preserve">आ.व. 2077/78 को </t>
    </r>
    <r>
      <rPr>
        <b/>
        <sz val="12"/>
        <rFont val="Kalimati"/>
      </rPr>
      <t xml:space="preserve">दोश्रो </t>
    </r>
    <r>
      <rPr>
        <b/>
        <sz val="12"/>
        <rFont val="Kalimati"/>
        <charset val="1"/>
      </rPr>
      <t>चौमासिक अवधिसम्मको लक्ष्य प्रगति बिवरण</t>
    </r>
  </si>
  <si>
    <r>
      <t>यस  कार्यालयमा जनशक्ति र यातायात साधनको अभाव तथा कार्यालयको ५०</t>
    </r>
    <r>
      <rPr>
        <sz val="10"/>
        <rFont val="KalindiMJ "/>
      </rPr>
      <t>%</t>
    </r>
    <r>
      <rPr>
        <sz val="10"/>
        <rFont val="Kalimati"/>
        <charset val="1"/>
      </rPr>
      <t xml:space="preserve"> बजेट समर्पणको कारण प्रगतिमा समस्याका रहेको । चालु आ.ब. मा कार्यान्वयन गरीने ८० प्रतिशत  योजनाहरुको सझौता भइ काम द्रुत गतिमा भइरहेकोले तेश्रो चौमिसकसम्ममा लक्ष्य अनुसार भौतिक तथा वित्तिय प्रगती हासिल हुने</t>
    </r>
  </si>
  <si>
    <t>संसोधित बजेट</t>
  </si>
  <si>
    <t xml:space="preserve"> तेश्रो चौमासिकसम्म तथा यस आ.व.को बार्षिक लक्ष्य</t>
  </si>
  <si>
    <t>तेश्रो चौमासिकसम्म तथा यस आ.व.को बार्षिक भौतिक प्रगति</t>
  </si>
  <si>
    <t>तेश्रो चौमासिकसम्म तथा यस आ.व.को बार्षिक खर्च</t>
  </si>
  <si>
    <t>11.4.15.1484.</t>
  </si>
  <si>
    <r>
      <t xml:space="preserve">आ.व. २०७७/७८ को </t>
    </r>
    <r>
      <rPr>
        <b/>
        <sz val="12"/>
        <rFont val="Kalimati"/>
        <charset val="1"/>
      </rPr>
      <t>वार्षिक लक्ष्य, प्रगति, बिवरण</t>
    </r>
  </si>
  <si>
    <t>NITP</t>
  </si>
  <si>
    <t>PAHIRO</t>
  </si>
  <si>
    <t>NADI</t>
  </si>
  <si>
    <t>MIP</t>
  </si>
  <si>
    <t>REPAIR</t>
  </si>
  <si>
    <t xml:space="preserve">अ) पुँजीगत खर्च अन्तर्गतका कार्यक्रमहरु </t>
  </si>
  <si>
    <t xml:space="preserve">क) पुँजीगत खर्च कार्यक्रमको जम्मा </t>
  </si>
  <si>
    <t xml:space="preserve">आ) चालु खर्च अन्तर्गतका कार्यक्रमहरु </t>
  </si>
  <si>
    <t xml:space="preserve">अधिकृतस्तर नबौ (स्थायी कर्मचारी) </t>
  </si>
  <si>
    <t>1.1.1.6</t>
  </si>
  <si>
    <t xml:space="preserve">अधिकृतस्तर सातौ (स्थायी कर्मचारी) </t>
  </si>
  <si>
    <t>1.1.1.7</t>
  </si>
  <si>
    <t xml:space="preserve">अधिकृतस्तर छैटौ (स्थायी कर्मचारी) </t>
  </si>
  <si>
    <t>1.1.1.8</t>
  </si>
  <si>
    <t xml:space="preserve">सहायकस्तर पाँचौ (स्थायी कर्मचारी) </t>
  </si>
  <si>
    <t xml:space="preserve">का.स.पाँचौ स्तर (स्थायी कर्मचारी) </t>
  </si>
  <si>
    <t>योगदानमा आधारित बीमा कोष खर्च (योगदानमा आधारित बीमा)</t>
  </si>
  <si>
    <t>1.2.2.1</t>
  </si>
  <si>
    <t>स्थायी कर्मचारी महंगी भत्ता (महंगी भत्ता)</t>
  </si>
  <si>
    <t>1.2.10.1</t>
  </si>
  <si>
    <t>पाले पहरा भत्ता (पाले पहरा भत्ता)</t>
  </si>
  <si>
    <t>1.3.1.1</t>
  </si>
  <si>
    <t>निजामती कर्मचारी पोशाक खर्च (कर्मचारी पोशाक)</t>
  </si>
  <si>
    <t>2.1.1.1</t>
  </si>
  <si>
    <t>धारको महसुल (धारको महसुल)</t>
  </si>
  <si>
    <t>2.1.2.1</t>
  </si>
  <si>
    <t>बिद्युत महसुल ( बिजुली महसुल)</t>
  </si>
  <si>
    <t>2.1.6.1</t>
  </si>
  <si>
    <t xml:space="preserve">टेलिफोन महसुल </t>
  </si>
  <si>
    <t>2.1.7.1</t>
  </si>
  <si>
    <t>इमेल इन्टरनेट वेबसाइट महसुल</t>
  </si>
  <si>
    <t>2.4.1.1</t>
  </si>
  <si>
    <t>2.8.1.1</t>
  </si>
  <si>
    <t>2.9.2.1</t>
  </si>
  <si>
    <t>घरभाडा (कार्यालयको घर भाडा)</t>
  </si>
  <si>
    <t xml:space="preserve">ख) चालु खर्च कार्यक्रमको जम्मा </t>
  </si>
  <si>
    <t>कुल जम्मा खर्च</t>
  </si>
  <si>
    <t>पटक</t>
  </si>
  <si>
    <t>जना</t>
  </si>
  <si>
    <t>जलश्रोत तथा सिंचाइ विकास डिभिजन कार्यालय, झापा</t>
  </si>
  <si>
    <t>अन्तिम बजेट</t>
  </si>
  <si>
    <t>मझौला सिंचाइ आयोजना (MIP)</t>
  </si>
  <si>
    <t xml:space="preserve">पटक </t>
  </si>
  <si>
    <t xml:space="preserve">जम्मा </t>
  </si>
  <si>
    <t>सिसि क्यामेरा / टिभि खरिद</t>
  </si>
  <si>
    <t>कन्काई बिर्ता अर्जुन नबीकरणीय उर्जा (कन्काई नपाबाट कार्यन्वयन हुने), झापा</t>
  </si>
  <si>
    <t>पालिया खोला तटबन्धन, मेचीनगर ८, सुकुम्बासी बस्ती</t>
  </si>
  <si>
    <t>आपतकालिन बाढी पहिरो पुनस्थापना कार्य, तारजाली, चेमेंत्को खालि बोरा, नाइलन जाली खरिद समेत</t>
  </si>
  <si>
    <t>गेउरिया खोला नदि नियन्त्रण</t>
  </si>
  <si>
    <t>देउनिया खोला नदि नियन्त्रण</t>
  </si>
  <si>
    <t>किस्ने खोला नदि नियन्त्रण, गौरादह १,२,७,८,९</t>
  </si>
  <si>
    <t>चन्दु खोला नदि नियत्रण</t>
  </si>
  <si>
    <t>सताशी खोला नदि नियत्रण</t>
  </si>
  <si>
    <t>किस्ने खोला नदि नियन्त्रण, गौरिगुन्ज २ / ३</t>
  </si>
  <si>
    <t>रामचन्द्रे खोला नदि नियत्रण</t>
  </si>
  <si>
    <t>हडिया खोला नदि नियत्रण</t>
  </si>
  <si>
    <t>टांगटींग खोला नदि नियत्रण</t>
  </si>
  <si>
    <t>निन्दा खोला नदि नियत्रण</t>
  </si>
  <si>
    <t>दमुना खोला नदि नियत्रण</t>
  </si>
  <si>
    <t>दुधे खोला नदि नियत्रण</t>
  </si>
  <si>
    <t xml:space="preserve">घाग्रा खोला नदि नियत्रण </t>
  </si>
  <si>
    <t>कमल बनियानी खोला नदि नियत्रण</t>
  </si>
  <si>
    <t>भुसुड़ी खोला नदि नियत्रण</t>
  </si>
  <si>
    <t xml:space="preserve">कमल खोला नदि नियत्रण </t>
  </si>
  <si>
    <t>कन्काई खोला नदि नियत्रण</t>
  </si>
  <si>
    <t>रतुवा खोला नदि नियत्रण</t>
  </si>
  <si>
    <t>दिपेनी खोला नदि नियत्रण</t>
  </si>
  <si>
    <t>भालु खोला नदि नियत्रण</t>
  </si>
  <si>
    <t>झरना खोला नदि नियत्रण</t>
  </si>
  <si>
    <t>सानोमाइ खोला नदि नियत्रण</t>
  </si>
  <si>
    <t>सुखानी खोला नदि नियत्रण</t>
  </si>
  <si>
    <t>टिमाई खोला नदि नियत्रण</t>
  </si>
  <si>
    <t>बैराती खोल्सी खोला नदि नियत्रण</t>
  </si>
  <si>
    <t>रेखाखोला मियाब्री हेड्वोर्कस छेउ नदि नियत्रण</t>
  </si>
  <si>
    <t>अदुवा खोला तटबन्धन तथा बिउटीफिकेसन अर्जुनधारा÷बिर्तामोड झापा</t>
  </si>
  <si>
    <t>दिपेनी बेतनी नदि नियत्रण र बिउटीफिकेसन</t>
  </si>
  <si>
    <t xml:space="preserve">त्रिवेणी सिंचाइ योजना कंचंनकवल, बर्हदशी, झापा </t>
  </si>
  <si>
    <t>भुतेनी सैनिक सिंचाइ योजना, गरामनी, झापा</t>
  </si>
  <si>
    <t>चियारोटि सिंचाइ योजना, सनिअर्जुन् ४, झापा</t>
  </si>
  <si>
    <t xml:space="preserve">क्षतिग्रस्त सिंचाइ संरचना मर्मत संभार कार्यहरु </t>
  </si>
  <si>
    <t>अमरावती सिंचाइ योजना कचंकमल २, झापा</t>
  </si>
  <si>
    <t>झिलमिले सिंचि आयोजना, मे न पा ११, १२, झापा</t>
  </si>
  <si>
    <t>कमल खोला सिंचाइ योजना, गौरिगंज, झापा</t>
  </si>
  <si>
    <t>गेउरिया रेगुलेटर सिंचाइ योजना, गौरादह ४, झापा</t>
  </si>
  <si>
    <t>कवै पैनी सिंचाइ योजना अर्जुनधारा ३, झापा</t>
  </si>
  <si>
    <t>तल्लो रामचन्द्रे सिंचाइ योजना, गौरादह ७, झापा</t>
  </si>
  <si>
    <t>माथिल्लो रामचन्द्रे सिंचाइ योजना, गौरादह ७, झापा</t>
  </si>
  <si>
    <t>गौरिया सिंचाइ योजना, गौरादह ७, झापा</t>
  </si>
  <si>
    <t>हडिया कृषक कुलो सिंचाइ योजना, भद्रपुर झापा</t>
  </si>
  <si>
    <t>बर्ने टिमाई जनसमूह सिंचाइ योजना, बुद्धशान्ति झापा</t>
  </si>
  <si>
    <t>चन्दु खोला सिंचाइ योजना, झापा</t>
  </si>
  <si>
    <t>बर्ने टीमाइ राज पैनी सिंचाइ योजना, बुद्धशान्ति, झापा</t>
  </si>
  <si>
    <t>महानन्द जनसमुह पैनी बुद्धशन्ति, झापा</t>
  </si>
  <si>
    <t>कप्ताने जनसमुह पैनी बुद्धशन्ति ४, झापा</t>
  </si>
  <si>
    <t>लेलिया घ सिंचाइ योजना, धरमपुर झापा</t>
  </si>
  <si>
    <t>ठुलो सुनमाई स्प्रिनकलर सिंचाइ योजना, बुद्धशन्ति, झापा</t>
  </si>
  <si>
    <t>हेंगाटुली सोलार सिंचाइ योजना, गौरादह ६, झापा</t>
  </si>
  <si>
    <t>दाहालटार स्प्रिनकलर सिंचाइ योजना, अर्जुनधारा #, झापा</t>
  </si>
  <si>
    <t>कोरोबारी सोलार सिंचाइ योजना, गौरिगंज २, झापा</t>
  </si>
  <si>
    <t>दिपेनी सोलार लिफ्ट सिंचाइ योजना, दमक ८, झापा</t>
  </si>
  <si>
    <t>रमिते डांडा न=प्र सिंचाइ योजना, बुद्धशन्ति, झापा</t>
  </si>
  <si>
    <t>भाकुडूब्बा सोलार सिंचाइ योजना, बार्हदशी १, झापा</t>
  </si>
  <si>
    <t xml:space="preserve">ढेनीसीमल सोलार सिंचाइ योजना, गौरादह ७, झापा </t>
  </si>
  <si>
    <t xml:space="preserve">भूडी सिमल सोलार सिंचाइ योजना, झापा </t>
  </si>
  <si>
    <t xml:space="preserve">सोलार सिंचाइ योजना, बार्हदशी, झापा </t>
  </si>
  <si>
    <t>चौरासे बिघे पैनिको नहर तथा मुहान निर्माण गर्ने, अर्जुनधारा ७</t>
  </si>
  <si>
    <t>सिद्धिनगर सिंचाइ आयोजना, मेचीनगर ७, बाहुनडांगि क्षेत्र, झापा</t>
  </si>
  <si>
    <t>पग्ला खोला सिंचाई अर्जुनधारा न पा ३</t>
  </si>
  <si>
    <t>कार्यालय भवन, आवास, गोदाम टहरा आदि निर्माण कार्य</t>
  </si>
  <si>
    <t>अनुसन्धान तथा परामर्श सेवा, बेसलाइन सर्वेक्षण, डाईगोनोस्तटक एनालाइसिस</t>
  </si>
  <si>
    <t>रेखा खोला नदि नियन्त्रण</t>
  </si>
  <si>
    <t>देउनिया खोला नदि नियन्त्रण, स्वर्गद्वारी उत्तर हल्दिबारी ३, झापा</t>
  </si>
  <si>
    <t>नुनमाटी खोला नदि नियन्त्रण</t>
  </si>
  <si>
    <t>बागडुग्रा कौवाखाल कटान नियन्त्र कार्य, संकरमार्ग भद्रपुर ७, झापा</t>
  </si>
  <si>
    <t>अदुवा खोलामा तटबन्ध निर्माण, झापा वाह्रदशी</t>
  </si>
  <si>
    <t>दिपेनी खोला तटबन्ध, दमक ८ ९, झापा</t>
  </si>
  <si>
    <t>खरखरे खोला तटबन्ध, दमक ८ ९, झापा</t>
  </si>
  <si>
    <t>सिंगीमारि देवी खोलामा तटबन्ध, भद्रपुर ७, झापा</t>
  </si>
  <si>
    <t>भुतेनी खोला तटबन्धन हल्दिबारी २, झापा</t>
  </si>
  <si>
    <t>देउनिया खोला तटबन्धन, हल्दिबारी २, झापा</t>
  </si>
  <si>
    <t>निन्दा नदि लिम्बु बस्ति तटबन्धन मेचीनगर १५, झापा</t>
  </si>
  <si>
    <t>टांगटिंग खोला तटबन्धन अर्जुनधारा २, झापा</t>
  </si>
  <si>
    <t>हडिया खोला किनार बस्ति तटबन्धन, बुद्धशन्ति ३, झापा</t>
  </si>
  <si>
    <t>ऐतिहशिक राजपैनी कुलो तटबन्धन, मेचीनगर ६ र ७ , झापा</t>
  </si>
  <si>
    <t>भुसुडी खोला तटबन्धन, हल्दिबारी, झापा</t>
  </si>
  <si>
    <t>बाल सुबोधिनी माथि उत्तर पश्चिम हडिया खोलामा तटबन्ध , मेचीनगर १४, झापा</t>
  </si>
  <si>
    <t xml:space="preserve">सुकुना खोलाको तटबन्ध र कल्भर्ट निर्माण, गौरादह </t>
  </si>
  <si>
    <t>सुखानी खोला तटबन्धन, अर्जुनधारा ३, झापा</t>
  </si>
  <si>
    <t>टांगटिंग खोला तटबन्धन मदन भण्डारी पुल दक्षिण, अर्जुनधारा न पा २, झापा</t>
  </si>
  <si>
    <t>भुसुरी खोला तटबन्धन पार्टी कार्यालय जाने, झापा</t>
  </si>
  <si>
    <t>सेती खोला नदि नियन्त्रण, भद्रपुर १०, बरपिपल टोल</t>
  </si>
  <si>
    <t>झिलमिले खोला नदि नियन्त्रण, झापा</t>
  </si>
  <si>
    <t>फुलबासा खोला नदि नियन्त्रण, झापा</t>
  </si>
  <si>
    <t>काली खोला नदि नियन्त्रण, झापा</t>
  </si>
  <si>
    <t xml:space="preserve"> रेखा खोला नदि नियन्त्रण, झापा</t>
  </si>
  <si>
    <t>सुरुंगा खोला नदि नियन्त्रण, झापा</t>
  </si>
  <si>
    <t>सुकुना खोला नदि नियन्त्रण, गौरादह ७ झापा</t>
  </si>
  <si>
    <t>लेलिया खोला तटबन्ध, झापा</t>
  </si>
  <si>
    <t>हर्चना खोला नदि नियन्त्रण, झापा</t>
  </si>
  <si>
    <t>रेखा खोला नदि नियन्त्रण, मियाबारी हेडवोर्क्स दशिण, बिर्तामोड ७, झापा</t>
  </si>
  <si>
    <t>बिरिंग खोला नदि नियन्त्रण, झापा</t>
  </si>
  <si>
    <t>अदुवा खोला नदि नियन्त्रण, विर्तामोड २ र १०, झापा</t>
  </si>
  <si>
    <t>अदुवा खोला नदि नियन्त्रण कार्य, मेथाबारी टोल, बिर्तामोड</t>
  </si>
  <si>
    <t>इमानसिंह चोक दक्षिण खोला कटान रोकथाम शिवसताक्षी, झापा</t>
  </si>
  <si>
    <t>कृष्ण खोला नियन्त्रण बगुवा, गौरिगंज गा पा, झापा</t>
  </si>
  <si>
    <t>सताशी खोला नदि नियत्रण, शिवसताशी न पा ८ र ११</t>
  </si>
  <si>
    <t>चाजु खोला कमल गा.पा ५, झापा</t>
  </si>
  <si>
    <t>बागदुरा खोला तटबन्ध संकट हरेस्वर मन्दिर छेउ , भद्रपुर ७, झापा</t>
  </si>
  <si>
    <t>आपतकालीन बाढी पहिरो क्षतिग्रस्त सिंचाइ योजनाहरु</t>
  </si>
  <si>
    <t>डुडामारी खोला तटबन्धन शिवसताशी १, धर्मपुर झापा</t>
  </si>
  <si>
    <t>क्रमागत/बहुवर्षिय सिंचाइ योजनाहरु</t>
  </si>
  <si>
    <t>देउनिया सिंचाइ योजना, बिर्तामोड ६, झापा</t>
  </si>
  <si>
    <t>पालिया पुर्व सिंचाइ योजना, मेचीनगर -७, झापा</t>
  </si>
  <si>
    <t>निन्दा खोला सिंचाइ योजना, मेचीनगर ८, झापा</t>
  </si>
  <si>
    <t>गेउरिया कृषि सुधार सिंचाइ योजना, गौरादह ४, झापा  १९० हेक</t>
  </si>
  <si>
    <t>डोरामारी रामचन्द्र सिंचाइ योजना, गौरादह ४, झापा</t>
  </si>
  <si>
    <t>हर्चना कृषक कुलो सिंचाइ योजना, हल्दिबारी २, झापा</t>
  </si>
  <si>
    <t>रतुवा खोला सिंचाइ योजना, दमक १ र २ , झापा</t>
  </si>
  <si>
    <t>हडिया फुलबासा सिंचाइ योजना, बुद्धशन्ति ३, झापा</t>
  </si>
  <si>
    <t>अदुवा खोला बाँध सिंचाइ योजना, बिर्तामोड १०, झापा</t>
  </si>
  <si>
    <t>सिद्धिखोला सिंचाइ योजना, बहुन्दंगी, झापा</t>
  </si>
  <si>
    <t xml:space="preserve">सालबसाली/मर्मत संभार सिंचाइ योजनाहरु   </t>
  </si>
  <si>
    <t>श्री हडीयादामा राजपैनी सिंचाइ समिति, बुद्धशन्ति १, झापा</t>
  </si>
  <si>
    <t>अर्जुनधारा १ झापाको बिरिंग खोलाको सखुवागछिमा चेकड्याम सहित सिंचाइ तथा खानेपानी मुहान निर्माण गर्ने</t>
  </si>
  <si>
    <t>सृष्टि स्प्रिङ्नकल सिंचाइ योजनाको ९० एम एम ४५०० मिटर पोलिथिन पाइप बिस्तार कार्य, बुद्धशान्ति ७, झापा</t>
  </si>
  <si>
    <t>आशिरबाद स्प्रिङ्नकल सिंचाइ योजनाको ९० एम एम ३५०० मिटर पोलिथिन पाइप बिस्तार कार्य, बुद्धशान्ति ७, झापा</t>
  </si>
  <si>
    <t xml:space="preserve">बुद्धशन्ति १ झापाको हडिया बिरिंग पैनी निकासा आयोजना दुमरिबोटको अधुरो काम सम्पन्न गर्न क्रमागत </t>
  </si>
  <si>
    <t>अपर लेलिया सिंचाइ जल उपभोकता संस्था, सिवसताक्षी १, झापा</t>
  </si>
  <si>
    <t>सानो कमल सिंचाइ योजना, गौरिगंज २, गौरादह ९, झापा</t>
  </si>
  <si>
    <t>सुखानी खोला दानाबारी सडक दक्षिण, अर्जुनधारा न. पा ३</t>
  </si>
  <si>
    <t>फाल्गुनन्द बहुधार्मिक स्मृती केन्द्र मेचीनगर ८, झापाको पलिया खोला तटबन्धन गर्न</t>
  </si>
  <si>
    <t>देउनिया खोला तटबन्धन, स्वर्गद्वारी उत्तर, हल्दिबारी ३, झापा</t>
  </si>
  <si>
    <t>पाथिभरा कुलो निर्माण, मेचीनगर १३, १४, झापा</t>
  </si>
  <si>
    <t>पालिया खोला पश्चिम पलिया नहर निर्माण, मेचीनगर ७, झापा</t>
  </si>
  <si>
    <t>कालिमुनी पैनी सिंचाइ योजना, बिर्तामोड १०, झापा</t>
  </si>
  <si>
    <t>कार्की तथा मूल पैनी सिंचाइ योजना मर्मत तथा संभार कार्य, बुद्धशन्ति १, झापा</t>
  </si>
  <si>
    <r>
      <t xml:space="preserve">दुधे खोलामा तटबन्ध </t>
    </r>
    <r>
      <rPr>
        <sz val="16"/>
        <rFont val="Kantipur"/>
      </rPr>
      <t>-कुमार सुबेदीको देखि राम ब तापाङ्गको सम्म, शिवसताशी वडा नं १, झापा</t>
    </r>
  </si>
  <si>
    <r>
      <t xml:space="preserve">ढयांग्री खोला तटबन्ध निर्माण </t>
    </r>
    <r>
      <rPr>
        <sz val="16"/>
        <rFont val="Kantipur"/>
      </rPr>
      <t>-गौरादह न पा ९ को सिमाना बाट उत्तर खण्ड कमल गा पा वडा नं १ लफादी _</t>
    </r>
  </si>
  <si>
    <t>11.3.22.3</t>
  </si>
  <si>
    <t>11.4.12.11</t>
  </si>
  <si>
    <t>11.4.14.219</t>
  </si>
  <si>
    <t>११.४.१४.२9७</t>
  </si>
  <si>
    <t>११.४.१४.२98</t>
  </si>
  <si>
    <t>११.४.१४.२९9</t>
  </si>
  <si>
    <t>११.४.१4.301</t>
  </si>
  <si>
    <t>११.४.१4.302</t>
  </si>
  <si>
    <t>11.4.14.303</t>
  </si>
  <si>
    <t>11.4.14.369</t>
  </si>
  <si>
    <t>11.4.13.74</t>
  </si>
  <si>
    <t>11.4.14.304</t>
  </si>
  <si>
    <t>११.४.१४.305</t>
  </si>
  <si>
    <t>११.४.१४.306</t>
  </si>
  <si>
    <t>११.४.१४.307</t>
  </si>
  <si>
    <t>११.४.१४.308</t>
  </si>
  <si>
    <t>११.४.१४.310</t>
  </si>
  <si>
    <t>११.४.१४.311</t>
  </si>
  <si>
    <t>११.४.१४.313</t>
  </si>
  <si>
    <t>११.४.१४.314</t>
  </si>
  <si>
    <t>११.४.१४.315</t>
  </si>
  <si>
    <t>११.४.१४.316</t>
  </si>
  <si>
    <t>११.४.१४.317</t>
  </si>
  <si>
    <t>११.४.१४.318</t>
  </si>
  <si>
    <t>११.४.१४.319</t>
  </si>
  <si>
    <t>११.४.१४.320</t>
  </si>
  <si>
    <t>११.४.१४.321</t>
  </si>
  <si>
    <t>११.४.१४.322</t>
  </si>
  <si>
    <t>११.४.१४.323</t>
  </si>
  <si>
    <t>११.४.१४.324</t>
  </si>
  <si>
    <t>११.४.१४.325</t>
  </si>
  <si>
    <t>११.४.१४.606</t>
  </si>
  <si>
    <t>११.४.१४.607</t>
  </si>
  <si>
    <t>११.४.१४.608</t>
  </si>
  <si>
    <t>११.४.१5.1002</t>
  </si>
  <si>
    <t>११.४.१5.1094</t>
  </si>
  <si>
    <t>११.४.१5.1190</t>
  </si>
  <si>
    <t>११.४.१5.1484</t>
  </si>
  <si>
    <t>११.४.१५.1647</t>
  </si>
  <si>
    <t>११.४.१५.1660</t>
  </si>
  <si>
    <t>११.४.१५.1894</t>
  </si>
  <si>
    <t>११.४.१५.1895</t>
  </si>
  <si>
    <t>११.४.१५.1906</t>
  </si>
  <si>
    <t>११.४.१५.1905</t>
  </si>
  <si>
    <t>११.४.१५.1904</t>
  </si>
  <si>
    <t>११.४.१५.1903</t>
  </si>
  <si>
    <t>११.४.१५.1901</t>
  </si>
  <si>
    <t>११.४.१५.1900</t>
  </si>
  <si>
    <t>११.४.१५.1907</t>
  </si>
  <si>
    <t>११.४.१५.1908</t>
  </si>
  <si>
    <t>११.४.१५.1910</t>
  </si>
  <si>
    <t>११.४.१५.1911</t>
  </si>
  <si>
    <t>११.४.१५.1912</t>
  </si>
  <si>
    <t>११.४.१५.1913</t>
  </si>
  <si>
    <t>११.४.१५.1919</t>
  </si>
  <si>
    <t>११.४.१५.1925</t>
  </si>
  <si>
    <t>११.४.१५.1924</t>
  </si>
  <si>
    <t>११.४.१५.1923</t>
  </si>
  <si>
    <t>११.४.१५.1922</t>
  </si>
  <si>
    <t>११.४.१५.1921</t>
  </si>
  <si>
    <t>११.४.१५.1920</t>
  </si>
  <si>
    <t>११.४.१५.1927</t>
  </si>
  <si>
    <t>११.४.१५.1928</t>
  </si>
  <si>
    <t>११.४.१५.2146</t>
  </si>
  <si>
    <t>११.४.१५.2354</t>
  </si>
  <si>
    <t>११.४.१५.2353</t>
  </si>
  <si>
    <t>११.5.22.1</t>
  </si>
  <si>
    <t>11.4.13.92</t>
  </si>
  <si>
    <t>11.4.13.95</t>
  </si>
  <si>
    <t>11.4.14.398</t>
  </si>
  <si>
    <t>11.4.14.399</t>
  </si>
  <si>
    <t>11.4.14.401</t>
  </si>
  <si>
    <t>11.4.14.404</t>
  </si>
  <si>
    <t>11.4.14.406</t>
  </si>
  <si>
    <t>11.4.14.407</t>
  </si>
  <si>
    <t>11.4.14.409</t>
  </si>
  <si>
    <t>11.4.14.410</t>
  </si>
  <si>
    <t>11.4.14.412</t>
  </si>
  <si>
    <t>11.4.14.413</t>
  </si>
  <si>
    <t>11.4.14.418</t>
  </si>
  <si>
    <t>11.4.14.420</t>
  </si>
  <si>
    <t>sdn algofgL gbL eh]Gb| k|;fb rf}nfufOsf] v]t b]lv klZrd t6aGw uf}l/u+h !, झापा</t>
  </si>
  <si>
    <t>11.4.14.426</t>
  </si>
  <si>
    <t>11.4.14.507</t>
  </si>
  <si>
    <t>11.4.14.508</t>
  </si>
  <si>
    <t>11.4.14.509</t>
  </si>
  <si>
    <t>11.4.14.510</t>
  </si>
  <si>
    <t>11.4.14.511</t>
  </si>
  <si>
    <t>11.4.14.512</t>
  </si>
  <si>
    <t>11.4.14.521</t>
  </si>
  <si>
    <t>11.4.14.522</t>
  </si>
  <si>
    <t>11.4.14.523</t>
  </si>
  <si>
    <t>11.4.14.524</t>
  </si>
  <si>
    <t>11.4.14.525</t>
  </si>
  <si>
    <t>11.4.14.526</t>
  </si>
  <si>
    <t>11.4.14.527</t>
  </si>
  <si>
    <t>11.4.14.528</t>
  </si>
  <si>
    <t>11.4.14.529</t>
  </si>
  <si>
    <t>11.4.14.530</t>
  </si>
  <si>
    <t>11.4.14.531</t>
  </si>
  <si>
    <t>afx|bzL खोला नियन्त्रण tyf ;f}Gbo{s/0f sfo{, ch{'gwf/f &amp; / *, झापा</t>
  </si>
  <si>
    <t>11.4.14.532</t>
  </si>
  <si>
    <t>11.4.14.565</t>
  </si>
  <si>
    <t>11.4.14.566</t>
  </si>
  <si>
    <t>11.4.14.567</t>
  </si>
  <si>
    <t>11.4.14.568</t>
  </si>
  <si>
    <t>11.4.14.569</t>
  </si>
  <si>
    <t>11.4.14.595</t>
  </si>
  <si>
    <t>11.4.14.603</t>
  </si>
  <si>
    <t>11.4.14.604</t>
  </si>
  <si>
    <t>11.4.14.605</t>
  </si>
  <si>
    <t>सानो कमल vf]nf नदि नियन्त्रण, झापा</t>
  </si>
  <si>
    <t>11.4.14.416</t>
  </si>
  <si>
    <r>
      <t xml:space="preserve">कृष्णे खोला बाँध सिंचाइ योजना, गौरादह ३,५,८,९  </t>
    </r>
    <r>
      <rPr>
        <sz val="16"/>
        <color theme="1"/>
        <rFont val="Kantipur"/>
      </rPr>
      <t>-</t>
    </r>
    <r>
      <rPr>
        <sz val="11"/>
        <color theme="1"/>
        <rFont val="Kalimati"/>
        <charset val="1"/>
      </rPr>
      <t>९४८ हेक</t>
    </r>
    <r>
      <rPr>
        <sz val="16"/>
        <color theme="1"/>
        <rFont val="Kantipur"/>
      </rPr>
      <t>_</t>
    </r>
  </si>
  <si>
    <t>11.4.15.1715</t>
  </si>
  <si>
    <t>11.4.15.1887</t>
  </si>
  <si>
    <t>11.4.15.1886</t>
  </si>
  <si>
    <t>11.4.15.1889</t>
  </si>
  <si>
    <t>11.4.15.1885</t>
  </si>
  <si>
    <t>11.4.15.1884</t>
  </si>
  <si>
    <t>11.4.15.1883</t>
  </si>
  <si>
    <t>11.4.15.1882</t>
  </si>
  <si>
    <t>11.4.15.1881</t>
  </si>
  <si>
    <t>11.4.15.1899</t>
  </si>
  <si>
    <t>11.4.15.995</t>
  </si>
  <si>
    <t>11.4.15.2118</t>
  </si>
  <si>
    <t>11.4.15.2129</t>
  </si>
  <si>
    <t>11.4.15.2139</t>
  </si>
  <si>
    <t>11.4.15.2136</t>
  </si>
  <si>
    <t>11.4.15.2135</t>
  </si>
  <si>
    <t>11.4.15.2137</t>
  </si>
  <si>
    <t>11.4.15.2138</t>
  </si>
  <si>
    <t>11.4.15.2133</t>
  </si>
  <si>
    <t>11.4.15.2131</t>
  </si>
  <si>
    <t>11.4.15.2141</t>
  </si>
  <si>
    <t>11.4.15.2144</t>
  </si>
  <si>
    <t>11.4.15.2143</t>
  </si>
  <si>
    <t>11.4.15.2142</t>
  </si>
  <si>
    <t>11.4.15.2316</t>
  </si>
  <si>
    <t>11.4.15.2355</t>
  </si>
  <si>
    <t>बजेट उपशिर्षक नं. ३1302101</t>
  </si>
  <si>
    <t>1.1.1.1</t>
  </si>
  <si>
    <t xml:space="preserve">अधिकृतस्तर आठौँ (स्थायी कर्मचारी) </t>
  </si>
  <si>
    <t>१.१.१.५</t>
  </si>
  <si>
    <t>१.१.१.१०</t>
  </si>
  <si>
    <t xml:space="preserve">ह स चा पाँचौ स्तर </t>
  </si>
  <si>
    <t>1.1.1.११</t>
  </si>
  <si>
    <t xml:space="preserve">पिउने पानी </t>
  </si>
  <si>
    <t>२.१.३.१</t>
  </si>
  <si>
    <t>8.1.3.१</t>
  </si>
  <si>
    <t>डिजेल/पेट्रोल/मोबिल</t>
  </si>
  <si>
    <t>२.२.२.२.</t>
  </si>
  <si>
    <t>प्रसुती स्याहार भत्ता</t>
  </si>
  <si>
    <t>१.२.८.२</t>
  </si>
  <si>
    <t>सवारी साधन मर्मत खर्च (सवारी साधन मर्मत)</t>
  </si>
  <si>
    <t>२.३.१.१</t>
  </si>
  <si>
    <t>मेसिनरी औझार मर्मत सम्भार</t>
  </si>
  <si>
    <t>२.३.२.१</t>
  </si>
  <si>
    <t xml:space="preserve">दैनिक प्रयोगका कार्यालय सामानहरु </t>
  </si>
  <si>
    <t>विज्ञापन तथा सुचना प्रकासन</t>
  </si>
  <si>
    <t>२४.१४.१</t>
  </si>
  <si>
    <t>कार्यालय सहयोगी (सेवा करार)</t>
  </si>
  <si>
    <t>२.५.७.२</t>
  </si>
  <si>
    <t>दरबन्दीको हलुका सवारी चालक (सेवा करार)</t>
  </si>
  <si>
    <t>२.५.७.३</t>
  </si>
  <si>
    <t>करार कर्मचारीको पोशाक खर्च</t>
  </si>
  <si>
    <t>२.५.८.३</t>
  </si>
  <si>
    <t>इलेक्ट्रिसियान, माली, सुरक्षा गार्ड आदि पारिश्रमिक</t>
  </si>
  <si>
    <t>२.५.१०.४</t>
  </si>
  <si>
    <t>१.६.४.१</t>
  </si>
  <si>
    <t>अनुगमन मुल्यांकन निरिक्षण र प्रतिवेदन</t>
  </si>
  <si>
    <t>2.8.2.१</t>
  </si>
  <si>
    <t>सरुवा/कर्मचारी भ्रमण खर्च ( अन्तरिक भ्रमण )</t>
  </si>
  <si>
    <t>बिमा तथा नवीकरण खर्च ( बीमा सवारी साधन)</t>
  </si>
  <si>
    <t>विविध खर्च</t>
  </si>
  <si>
    <t>२.९.९.१</t>
  </si>
  <si>
    <t>संख्या</t>
  </si>
  <si>
    <t xml:space="preserve"> वटा</t>
  </si>
  <si>
    <t>झिलझिले नदि नियन्त्रण, झापा</t>
  </si>
  <si>
    <t xml:space="preserve"> रु.</t>
  </si>
  <si>
    <t>सिद्धिखोला सिंचाइ योजना, बाहूनडांगी (१७०० हे.)</t>
  </si>
  <si>
    <t>लम्फेवा सिङतापे सिंचाइ योजना, गजुरमुखि ५ ६</t>
  </si>
  <si>
    <t>भुत्लुङ्ग खोला सिंचाइ योजना, देवीचौर, तोपगाछी (२५० हे.)</t>
  </si>
  <si>
    <t>तल्लो रामचन्द्रे सिंचाइ योजना, खजुरगाछी ८</t>
  </si>
  <si>
    <t>अदुवा खोला सिचाइ योजना चकचकी, झापा</t>
  </si>
  <si>
    <t>11.4.15.1773</t>
  </si>
  <si>
    <t>तल्लो किस्ने सिंचाइ योजना गौरीगञ्ज झापा</t>
  </si>
  <si>
    <t>11.4.15.1800</t>
  </si>
  <si>
    <t>11.4.15.2173</t>
  </si>
  <si>
    <t>सानोमाइ सिंचाइ योजना टाघनडुवा झापा</t>
  </si>
  <si>
    <t>फौदरघाट सिंचाइ योजना राजगढ (१८९ हें) झापा</t>
  </si>
  <si>
    <t>११.४.१५.१७०९</t>
  </si>
  <si>
    <t>११.४.१५.१७७०</t>
  </si>
  <si>
    <t>११.४.१५.१७७१</t>
  </si>
  <si>
    <t>11.4.15.१८१८</t>
  </si>
  <si>
    <t xml:space="preserve">11.4.15.२१७४
</t>
  </si>
  <si>
    <t>त्रिवेणी सिंचाई योजना , कचनकमल , झापा ( ३२०० A32हे )</t>
  </si>
  <si>
    <t>११.४.१५.२२११</t>
  </si>
  <si>
    <t>नदी नियन्त्रण (संघ शसर्त अनुदान)</t>
  </si>
  <si>
    <t>बेतनी खोला नियन्त्रण दमक 4,९ झापा</t>
  </si>
  <si>
    <t>सुनकोशी सामुदायिक अस्पताल संरक्षणको लागि भदौरे खोला नियन्त्रण झापा</t>
  </si>
  <si>
    <t>वाल सुवोधिनी मा.वि.हटिया खोला तटबन्धन मेचीनगर 14 झापा</t>
  </si>
  <si>
    <t>देउनिया खोला नियन्त्रण भद्रपुर ७ र १० झापा</t>
  </si>
  <si>
    <t>कन्काइ नदी नियन्त्रण गौरीगञ्ज गापा २ आमगाछी भाकुरमारी</t>
  </si>
  <si>
    <t>खरखरे खोला नियन्त्रण दमक ८,९ झापा</t>
  </si>
  <si>
    <t>दिपेनी खोला प्रकोप न्यूनिकरण दमक 8,9 झापा</t>
  </si>
  <si>
    <t>11.4.14.437</t>
  </si>
  <si>
    <t>11.4.14.444</t>
  </si>
  <si>
    <t>11.4.14.448</t>
  </si>
  <si>
    <t>11.4.14.475</t>
  </si>
  <si>
    <t>11.4.14.464</t>
  </si>
  <si>
    <t>11.4.14.449</t>
  </si>
  <si>
    <t>11.4.14.457</t>
  </si>
  <si>
    <t>नयाँ प्रविधिमा आधारित नदी नियन्त्रण कार्यक्रम (संघ शसर्त)</t>
  </si>
  <si>
    <t>झिलमिले खोला नियन्त्रण भ.न.पा.४,महेशपुर झापा</t>
  </si>
  <si>
    <t>टिमाई नदी तटबन्धन कार्य मेचीनगर न.पा. वडा नं. ३,९,१५ झापा</t>
  </si>
  <si>
    <t>बेतेनी खोला नियन्त्रण कार्य कृष्ण मन्दिर चिया बगान दमक ४,झापा</t>
  </si>
  <si>
    <t>निन्दा नदी नदी तटबन्धन कार्य, बुद्धशान्ति गा.पा. वडा नं. ४ र ५ झापा</t>
  </si>
  <si>
    <t>कन्काइ नदी आमगाछी भाकुरमारी गौरीगञ्ज २ झापा</t>
  </si>
  <si>
    <t>11.4.14.439</t>
  </si>
  <si>
    <t>11.4.14.471</t>
  </si>
  <si>
    <t>11.4.14.440</t>
  </si>
  <si>
    <t>11.4.14.470</t>
  </si>
  <si>
    <t>11.4.14.461</t>
  </si>
  <si>
    <t>बजेट उपशिर्षक नं. 313911264, 313911234</t>
  </si>
  <si>
    <r>
      <t>;fNa;fnL</t>
    </r>
    <r>
      <rPr>
        <b/>
        <sz val="16"/>
        <rFont val="PCS NEPALI"/>
        <family val="5"/>
      </rPr>
      <t>÷</t>
    </r>
    <r>
      <rPr>
        <b/>
        <sz val="15.85"/>
        <rFont val="Preeti"/>
      </rPr>
      <t>dd{t ;Def/, gbL lgoGq0f sfo{</t>
    </r>
  </si>
  <si>
    <t xml:space="preserve">आ.व. २०७९/८० को बार्षिक कार्यक्रम तथा बजेट </t>
  </si>
  <si>
    <t>दुधे खोलामा तटबन्ध -कुमार सुबेदीको देखि राम ब तापाङ्गको सम्म, शिवसताशी वडा नं १, झापा</t>
  </si>
  <si>
    <t>ढयांग्री खोला तटबन्ध निर्माण -गौरादह न पा ९ को सिमाना बाट उत्तर खण्ड कमल गा पा वडा नं १ लफादी _</t>
  </si>
  <si>
    <t>कमल बनियानी नदी भजेन्द्र प्रसाद चौलागाईको खेत देखि पश्चिम तटबन्ध, गौरीगन्ज १, झापा</t>
  </si>
  <si>
    <t>बाह्रदशी खोला नियन्त्रण तथा सौन्दर्यकरण कार्य, अर्जुनधारा ७ र ८, झापा</t>
  </si>
  <si>
    <t>सानो कमल खोला नदि नियन्त्रण, झापा</t>
  </si>
  <si>
    <t>चौथों त्रैमासिकको लक्ष्य</t>
  </si>
  <si>
    <t>चौथों त्रैमासिकको भौतिक प्रगति</t>
  </si>
  <si>
    <t>चौथों त्रैमासिकको बित्तिय प्रगति</t>
  </si>
  <si>
    <t>चौथों त्रैमासिकसम्मको लक्ष्य</t>
  </si>
  <si>
    <t>चौथों त्रैमासिकसम्मको भौतिक प्रगति</t>
  </si>
  <si>
    <t>चौथों त्रैमासिक सम्मको बित्तिय प्रगति</t>
  </si>
  <si>
    <t>(रकम रु. लाखमा) :</t>
  </si>
  <si>
    <t>दामुना खोला नदि नियत्रण</t>
  </si>
  <si>
    <t>धाराको महसुल (धारको महसुल)</t>
  </si>
  <si>
    <t>चौंथो त्रैमासिकको लक्ष्य</t>
  </si>
  <si>
    <t>चौंथो त्रैमासिकको भौतिक प्रगति</t>
  </si>
  <si>
    <t>चौंथो त्रैमासिकको बित्तिय प्रगति</t>
  </si>
  <si>
    <t>चौंथो त्रैमासिक सम्मको लक्ष्य</t>
  </si>
  <si>
    <t>चौंथो त्रैमासिक सम्मको भौतिक प्रगति</t>
  </si>
  <si>
    <t>चौंथो त्रैमासिक सम्मको बित्तिय प्रगति</t>
  </si>
  <si>
    <t>3rd Trimester</t>
  </si>
  <si>
    <t>Difference</t>
  </si>
  <si>
    <t>११.४.१४.६६३</t>
  </si>
  <si>
    <t>कमलखोला झुनावारी माझिटोल उत्तरपश्चिम तटबन्ध शिवसताक्षी-२ झापा</t>
  </si>
  <si>
    <t>११.४.१४.६६७</t>
  </si>
  <si>
    <t>पाराबारी बजार पुर्व भोप्लाडुब्डुबा पुल आसपास तटबन्ध, शिवसतासी</t>
  </si>
  <si>
    <t>११.४.१४.६७४</t>
  </si>
  <si>
    <t>झरनाखोला विरदल टोल पूर्व तटबन्ध शिवसतासी नपा ९ झापा</t>
  </si>
  <si>
    <t>११.४.१४.६८०</t>
  </si>
  <si>
    <t>लेलियाखोला प्रेम कुमार राईको घरपूर्व तटबन्ध शिवसतासी नपा १ झापा</t>
  </si>
  <si>
    <t>११.४.१४.६८१</t>
  </si>
  <si>
    <t>सानो कमलखोला विरपुर तटबन्ध गौरीगञ्ज २ झापा</t>
  </si>
  <si>
    <t>११.४.१४.६८२</t>
  </si>
  <si>
    <t>११.४.१४.६८३</t>
  </si>
  <si>
    <t>किस्नेखोला भोला घिमिरे घर छेउ तटबन्ध गौरादह नपा ९ झापा</t>
  </si>
  <si>
    <t>११.४.१४.६८४</t>
  </si>
  <si>
    <t>कमल बनियानी खोला चौरी बजार पश्चिम तटबन्ध गौरीगञ्ज १ झापा</t>
  </si>
  <si>
    <t>११.४.१४.६८५</t>
  </si>
  <si>
    <t>लक्ष्मि बिरिङ पैनिको मुहान भएको क्षेत्र बिरिङखोला तटबन्ध बुद्दबुशान्ती-१ झापा</t>
  </si>
  <si>
    <t>११.४.१४.६८६</t>
  </si>
  <si>
    <t>११.४.१४.६८७</t>
  </si>
  <si>
    <t>हडिया खोला तटबन्धन नयाँ बस्ति समाबेसि टोल पुर्ब मे.न,पा- ११ झापा</t>
  </si>
  <si>
    <t>११.४.१४.६८८</t>
  </si>
  <si>
    <t>बडागाँउ पुर्व निन्दा खोला तटबन्धन मे न पा ३ झापा</t>
  </si>
  <si>
    <t>११.४.१४.६८९</t>
  </si>
  <si>
    <t>चाजु दोभान देवि रतुवा पुल सम्म रतुवा खोला नियन्त्रण झापा</t>
  </si>
  <si>
    <t>११.४.१४.६९०</t>
  </si>
  <si>
    <t>कृष्णखोला सुकुम्बासी टोल तटबन्ध कवल गापा १ बासबारी झापा</t>
  </si>
  <si>
    <t>११.४.१४.६९१</t>
  </si>
  <si>
    <t>मेचिनगर न.पा ११ हडिया खोला साबिक वडा न २ को हडिया खोला पुलको उत्तर खोलाको पुर्ब भागमा शान्ति चिमरियाको घर पस्चिम तटबन्धन मेचिनगर ११ झापा</t>
  </si>
  <si>
    <t>११.४.१४.६९२</t>
  </si>
  <si>
    <t>रेखाखोला मियाबाढि नदि नियन्त्रण मियाबाढी हेडवर्कस दक्षिण बिर्तामोड ७ झापा</t>
  </si>
  <si>
    <t>११.४.१४.६९३</t>
  </si>
  <si>
    <t>दिपेनी बेतनी तटबन्धन एवम सौन्दर्यकरण वायु इन्जिनियरिङ दमक झापा</t>
  </si>
  <si>
    <t>११.४.१४.६९४</t>
  </si>
  <si>
    <t>११.४.१४.६९५</t>
  </si>
  <si>
    <t>ढयाङ्री खोला उत्तर पट्टिको भाग सिमपाने एरिया तटबन्धन कमल- १ झापा</t>
  </si>
  <si>
    <t>११.४.१४.६९६</t>
  </si>
  <si>
    <t>रतुवा खोला बाध ब्यबस्थापन, कमल गा.पा.-५ झापा</t>
  </si>
  <si>
    <t>११.४.१४.६९७</t>
  </si>
  <si>
    <t>हर्चना खोला दक्षिण तटबन्ध विर्तामोड न पा ७ झापा</t>
  </si>
  <si>
    <t>११.४.१४.६९८</t>
  </si>
  <si>
    <t>त्रिवेणी सिचाइ योजना मुहान मर्मत संभार मेची नपा ११ झापा</t>
  </si>
  <si>
    <t>११.४.१४.६९९</t>
  </si>
  <si>
    <t>सिसौबोटे पैनी मुहान संरक्षण मेची नपा झापा</t>
  </si>
  <si>
    <t>डुडाखोला विक्रम गुङको घर दक्षिण तटबन्ध शिवसतासी नपा ३ झापा</t>
  </si>
  <si>
    <t>ब्युटि बोर्डर नदी नियन्त्रण कार्यक्रम रोङ ६ र मेचिनगर १ झापा</t>
  </si>
  <si>
    <t>एकीकृत उर्जा तथा सिंचाई विषेश कार्यक्रम(संघ शसर्त अनुदान)</t>
  </si>
  <si>
    <t>११.४.१५.२१५०</t>
  </si>
  <si>
    <t>खारखोला लिफ्ट सि. यो. बुद्धशान्ति-५ झापा</t>
  </si>
  <si>
    <t>११.४.१५.२१७०</t>
  </si>
  <si>
    <t>दिपेनी खोला लिफ्ट सि. यो., दमक-८ झापा</t>
  </si>
  <si>
    <t>११.४.१५.२१८३</t>
  </si>
  <si>
    <t>देउनिया खोला लिफ्ट सि. यो., बिर्तामोड-८, झापा</t>
  </si>
  <si>
    <t>बिरिङखोला साधुटार जाने बाटो उत्तर तटबन्ध बुद्दबुशान्ती-१ झापा</t>
  </si>
  <si>
    <r>
      <t xml:space="preserve">;fNa;fnL </t>
    </r>
    <r>
      <rPr>
        <b/>
        <sz val="15.85"/>
        <rFont val="Preeti"/>
      </rPr>
      <t>dd{t ;Def/, gbL lgoGq0f sfo{</t>
    </r>
  </si>
  <si>
    <t>कृष्णे खोला बाँध सिंचाइ योजना, गौरादह ३,५,८,९  -९४८ हेक_</t>
  </si>
  <si>
    <t>आ.व. २०७९/८० को चौंथो त्रैमासिक सम्मको लक्ष्य, प्रगति बिवरण</t>
  </si>
  <si>
    <t>जलश्रोत तथा सिंचाइ विकास डिभिजन कार्यालय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</si>
</sst>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4000439]0"/>
    <numFmt numFmtId="166" formatCode="0.000000"/>
    <numFmt numFmtId="167" formatCode="0.000"/>
    <numFmt numFmtId="168" formatCode="0.0000"/>
  </numFmts>
  <fonts count="119">
    <font>
      <sz val="10"/>
      <name val="Arial"/>
    </font>
    <font>
      <sz val="11"/>
      <color theme="1"/>
      <name val="Calibri"/>
      <family val="2"/>
      <scheme val="minor"/>
    </font>
    <font>
      <sz val="10"/>
      <name val="FONTASY_HIMALI_TT"/>
      <family val="5"/>
    </font>
    <font>
      <sz val="10"/>
      <color indexed="8"/>
      <name val="FONTASY_HIMALI_TT"/>
      <family val="5"/>
    </font>
    <font>
      <sz val="11"/>
      <color indexed="8"/>
      <name val="FONTASY_HIMALI_TT"/>
      <family val="5"/>
    </font>
    <font>
      <sz val="8"/>
      <color indexed="8"/>
      <name val="FONTASY_HIMALI_TT"/>
      <family val="5"/>
    </font>
    <font>
      <sz val="12"/>
      <color indexed="8"/>
      <name val="FONTASY_HIMALI_TT"/>
      <family val="5"/>
    </font>
    <font>
      <b/>
      <sz val="8"/>
      <color indexed="8"/>
      <name val="FONTASY_HIMALI_TT"/>
      <family val="5"/>
    </font>
    <font>
      <sz val="11"/>
      <color theme="1"/>
      <name val="Kalimati"/>
      <charset val="1"/>
    </font>
    <font>
      <b/>
      <sz val="10"/>
      <name val="FONTASY_HIMALI_TT"/>
      <family val="5"/>
    </font>
    <font>
      <b/>
      <sz val="11"/>
      <color indexed="8"/>
      <name val="FONTASY_HIMALI_TT"/>
      <family val="5"/>
    </font>
    <font>
      <sz val="16"/>
      <color indexed="8"/>
      <name val="FONTASY_HIMALI_TT"/>
      <family val="5"/>
    </font>
    <font>
      <b/>
      <sz val="11"/>
      <color theme="1"/>
      <name val="Kalimati"/>
      <charset val="1"/>
    </font>
    <font>
      <b/>
      <sz val="10"/>
      <color theme="1"/>
      <name val="Kalimati"/>
      <charset val="1"/>
    </font>
    <font>
      <b/>
      <sz val="10"/>
      <name val="Arial"/>
      <family val="2"/>
    </font>
    <font>
      <b/>
      <sz val="11"/>
      <name val="Arial"/>
      <family val="2"/>
    </font>
    <font>
      <b/>
      <sz val="12"/>
      <name val="Arial"/>
      <family val="2"/>
    </font>
    <font>
      <b/>
      <sz val="16"/>
      <name val="FONTASY_HIMALI_TT"/>
      <family val="5"/>
    </font>
    <font>
      <sz val="12"/>
      <name val="FONTASY_HIMALI_TT"/>
      <family val="5"/>
    </font>
    <font>
      <sz val="16"/>
      <name val="FONTASY_HIMALI_TT"/>
      <family val="5"/>
    </font>
    <font>
      <sz val="18"/>
      <color indexed="8"/>
      <name val="FONTASY_HIMALI_TT"/>
      <family val="5"/>
    </font>
    <font>
      <sz val="22"/>
      <color indexed="8"/>
      <name val="FONTASY_HIMALI_TT"/>
      <family val="5"/>
    </font>
    <font>
      <sz val="14"/>
      <color indexed="8"/>
      <name val="FONTASY_HIMALI_TT"/>
      <family val="5"/>
    </font>
    <font>
      <sz val="11"/>
      <name val="FONTASY_HIMALI_TT"/>
      <family val="5"/>
    </font>
    <font>
      <sz val="14"/>
      <name val="FONTASY_HIMALI_TT"/>
      <family val="5"/>
    </font>
    <font>
      <sz val="10"/>
      <name val="Arial"/>
      <family val="2"/>
    </font>
    <font>
      <sz val="11"/>
      <name val="Kalimati"/>
      <charset val="1"/>
    </font>
    <font>
      <b/>
      <sz val="10"/>
      <name val="Preeti"/>
    </font>
    <font>
      <b/>
      <sz val="12"/>
      <name val="Preeti"/>
    </font>
    <font>
      <b/>
      <sz val="14"/>
      <name val="Preeti"/>
    </font>
    <font>
      <b/>
      <sz val="14"/>
      <name val="NPC Light"/>
    </font>
    <font>
      <sz val="12"/>
      <name val="Preeti"/>
    </font>
    <font>
      <sz val="12"/>
      <name val="NPC Light"/>
    </font>
    <font>
      <sz val="12"/>
      <name val="NPCXL"/>
    </font>
    <font>
      <sz val="11"/>
      <name val="Preeti"/>
    </font>
    <font>
      <b/>
      <sz val="11"/>
      <name val="Preeti"/>
    </font>
    <font>
      <b/>
      <sz val="11"/>
      <name val="NPCXL"/>
    </font>
    <font>
      <sz val="10"/>
      <name val="Preeti"/>
    </font>
    <font>
      <sz val="11"/>
      <name val="NPCXL"/>
    </font>
    <font>
      <sz val="8"/>
      <color theme="1"/>
      <name val="Kalimati"/>
      <charset val="1"/>
    </font>
    <font>
      <sz val="11"/>
      <name val="Arial"/>
      <family val="2"/>
    </font>
    <font>
      <sz val="8"/>
      <name val="Preeti"/>
    </font>
    <font>
      <sz val="11"/>
      <name val="Arial"/>
      <family val="1"/>
    </font>
    <font>
      <sz val="10"/>
      <name val="NPCXL"/>
    </font>
    <font>
      <sz val="9"/>
      <color theme="1"/>
      <name val="Kalimati"/>
      <charset val="1"/>
    </font>
    <font>
      <sz val="9"/>
      <name val="HIMALAYA TT FONT"/>
      <family val="5"/>
    </font>
    <font>
      <b/>
      <sz val="9"/>
      <name val="HIMALAYA TT FONT"/>
      <family val="5"/>
    </font>
    <font>
      <sz val="9"/>
      <name val="Gill Sans Ultra Bold"/>
      <family val="2"/>
    </font>
    <font>
      <sz val="12"/>
      <color theme="0"/>
      <name val="NPCXL"/>
    </font>
    <font>
      <sz val="8"/>
      <name val="कालीमाटी"/>
    </font>
    <font>
      <b/>
      <sz val="9"/>
      <name val="Preeti"/>
    </font>
    <font>
      <sz val="8"/>
      <name val="NPCXL"/>
    </font>
    <font>
      <b/>
      <sz val="8"/>
      <color theme="1"/>
      <name val="Kalimati"/>
      <charset val="1"/>
    </font>
    <font>
      <sz val="9"/>
      <name val="NPCXL"/>
    </font>
    <font>
      <sz val="8"/>
      <name val="Kalimati"/>
      <charset val="1"/>
    </font>
    <font>
      <b/>
      <sz val="8"/>
      <name val="Arial"/>
      <family val="2"/>
    </font>
    <font>
      <b/>
      <sz val="8"/>
      <name val="Preeti"/>
    </font>
    <font>
      <sz val="9"/>
      <name val="Preeti"/>
    </font>
    <font>
      <sz val="10"/>
      <name val="Kalimati"/>
      <charset val="1"/>
    </font>
    <font>
      <b/>
      <sz val="10"/>
      <name val="Kalimati"/>
      <charset val="1"/>
    </font>
    <font>
      <sz val="9"/>
      <name val="Kalimati"/>
      <charset val="1"/>
    </font>
    <font>
      <sz val="10"/>
      <color theme="1"/>
      <name val="Kalimati"/>
      <charset val="1"/>
    </font>
    <font>
      <b/>
      <i/>
      <sz val="8"/>
      <color rgb="FF969696"/>
      <name val="Kalimati"/>
      <charset val="1"/>
    </font>
    <font>
      <u/>
      <sz val="10"/>
      <color theme="10"/>
      <name val="Arial"/>
      <family val="2"/>
    </font>
    <font>
      <u/>
      <sz val="10"/>
      <color theme="10"/>
      <name val="Kalimati"/>
      <charset val="1"/>
    </font>
    <font>
      <sz val="8"/>
      <color rgb="FF666666"/>
      <name val="Kalimati"/>
      <charset val="1"/>
    </font>
    <font>
      <b/>
      <sz val="11"/>
      <color theme="1"/>
      <name val="Calibri"/>
      <family val="2"/>
      <scheme val="minor"/>
    </font>
    <font>
      <b/>
      <sz val="11"/>
      <name val="Kalimati"/>
      <charset val="1"/>
    </font>
    <font>
      <b/>
      <sz val="11"/>
      <name val="Calibri"/>
      <family val="2"/>
    </font>
    <font>
      <b/>
      <sz val="12"/>
      <color theme="1"/>
      <name val="Kalimati"/>
      <charset val="1"/>
    </font>
    <font>
      <b/>
      <sz val="12"/>
      <color theme="1"/>
      <name val="Calibri"/>
      <family val="1"/>
      <scheme val="minor"/>
    </font>
    <font>
      <b/>
      <sz val="12"/>
      <color theme="1"/>
      <name val="Calibri"/>
      <family val="2"/>
    </font>
    <font>
      <b/>
      <sz val="11"/>
      <color theme="1"/>
      <name val="Calibri"/>
      <family val="1"/>
      <scheme val="minor"/>
    </font>
    <font>
      <b/>
      <sz val="11"/>
      <color theme="1"/>
      <name val="Calibri"/>
      <family val="2"/>
    </font>
    <font>
      <i/>
      <sz val="11"/>
      <color theme="1"/>
      <name val="Kalimati"/>
      <charset val="1"/>
    </font>
    <font>
      <b/>
      <i/>
      <sz val="11"/>
      <color theme="1"/>
      <name val="Kalimati"/>
      <charset val="1"/>
    </font>
    <font>
      <sz val="9"/>
      <color theme="1"/>
      <name val="Calibri"/>
      <family val="2"/>
      <scheme val="minor"/>
    </font>
    <font>
      <i/>
      <sz val="12"/>
      <color theme="1"/>
      <name val="Kalimati"/>
      <charset val="1"/>
    </font>
    <font>
      <sz val="12"/>
      <color theme="1"/>
      <name val="Kalimati"/>
      <charset val="1"/>
    </font>
    <font>
      <b/>
      <sz val="9"/>
      <name val="Kalimati"/>
      <charset val="1"/>
    </font>
    <font>
      <sz val="12"/>
      <name val="Kalimati"/>
      <charset val="1"/>
    </font>
    <font>
      <b/>
      <sz val="12"/>
      <name val="Kalimati"/>
      <charset val="1"/>
    </font>
    <font>
      <b/>
      <sz val="14"/>
      <name val="Kalimati"/>
      <charset val="1"/>
    </font>
    <font>
      <sz val="12"/>
      <color theme="0"/>
      <name val="Kalimati"/>
      <charset val="1"/>
    </font>
    <font>
      <sz val="10"/>
      <color rgb="FFFF0000"/>
      <name val="Kalimati"/>
      <charset val="1"/>
    </font>
    <font>
      <b/>
      <sz val="12"/>
      <name val="Kalimati"/>
    </font>
    <font>
      <sz val="10"/>
      <name val="KalindiMJ "/>
    </font>
    <font>
      <b/>
      <sz val="10"/>
      <color rgb="FFFF0000"/>
      <name val="Kalimati"/>
      <charset val="1"/>
    </font>
    <font>
      <b/>
      <sz val="13"/>
      <name val="Kalimati"/>
      <charset val="1"/>
    </font>
    <font>
      <sz val="13"/>
      <name val="Kalimati"/>
      <charset val="1"/>
    </font>
    <font>
      <b/>
      <sz val="13"/>
      <name val="Arial"/>
      <family val="2"/>
    </font>
    <font>
      <sz val="10"/>
      <color rgb="FFFF0000"/>
      <name val="Arial"/>
      <family val="2"/>
    </font>
    <font>
      <sz val="11"/>
      <color rgb="FFFF0000"/>
      <name val="Kalimati"/>
      <charset val="1"/>
    </font>
    <font>
      <sz val="11"/>
      <color rgb="FFFF0000"/>
      <name val="Arial"/>
      <family val="2"/>
    </font>
    <font>
      <sz val="16"/>
      <name val="Preeti"/>
    </font>
    <font>
      <sz val="16"/>
      <name val="Kantipur"/>
    </font>
    <font>
      <b/>
      <sz val="16"/>
      <color theme="1"/>
      <name val="Kalimati"/>
      <charset val="1"/>
    </font>
    <font>
      <sz val="16"/>
      <color theme="1"/>
      <name val="Kantipur"/>
    </font>
    <font>
      <sz val="8"/>
      <name val="Arial"/>
      <family val="2"/>
    </font>
    <font>
      <sz val="8"/>
      <color rgb="FFFF0000"/>
      <name val="Kalimati"/>
      <charset val="1"/>
    </font>
    <font>
      <sz val="9"/>
      <name val="Times New Roman"/>
      <family val="1"/>
    </font>
    <font>
      <sz val="10"/>
      <name val="Times New Roman"/>
      <family val="1"/>
    </font>
    <font>
      <sz val="11"/>
      <name val="Times New Roman"/>
      <family val="1"/>
    </font>
    <font>
      <b/>
      <sz val="11"/>
      <name val="Times New Roman"/>
      <family val="1"/>
    </font>
    <font>
      <b/>
      <sz val="9"/>
      <name val="Times New Roman"/>
      <family val="1"/>
    </font>
    <font>
      <b/>
      <sz val="16"/>
      <name val="Preeti"/>
    </font>
    <font>
      <b/>
      <sz val="16"/>
      <name val="PCS NEPALI"/>
      <family val="5"/>
    </font>
    <font>
      <b/>
      <sz val="15.85"/>
      <name val="Preeti"/>
    </font>
    <font>
      <sz val="11"/>
      <color rgb="FF333333"/>
      <name val="Arial"/>
      <family val="2"/>
    </font>
    <font>
      <sz val="11"/>
      <color theme="1"/>
      <name val="Arial"/>
      <family val="2"/>
    </font>
    <font>
      <sz val="12"/>
      <color rgb="FF333333"/>
      <name val="Kalimati"/>
      <charset val="1"/>
    </font>
    <font>
      <sz val="11"/>
      <color rgb="FFFF0000"/>
      <name val="Times New Roman"/>
      <family val="1"/>
    </font>
    <font>
      <b/>
      <sz val="12"/>
      <name val="Times New Roman"/>
      <family val="1"/>
    </font>
    <font>
      <sz val="13"/>
      <name val="Times New Roman"/>
      <family val="1"/>
    </font>
    <font>
      <b/>
      <sz val="13"/>
      <name val="Times New Roman"/>
      <family val="1"/>
    </font>
    <font>
      <sz val="12"/>
      <name val="Times New Roman"/>
      <family val="1"/>
    </font>
    <font>
      <sz val="12"/>
      <color rgb="FFFF0000"/>
      <name val="Times New Roman"/>
      <family val="1"/>
    </font>
    <font>
      <b/>
      <sz val="11"/>
      <color rgb="FFFF0000"/>
      <name val="Times New Roman"/>
      <family val="1"/>
    </font>
    <font>
      <sz val="12"/>
      <color rgb="FFFF0000"/>
      <name val="Kalimati"/>
      <charset val="1"/>
    </font>
  </fonts>
  <fills count="10">
    <fill>
      <patternFill patternType="none"/>
    </fill>
    <fill>
      <patternFill patternType="gray125"/>
    </fill>
    <fill>
      <patternFill patternType="solid">
        <fgColor theme="0"/>
        <bgColor indexed="64"/>
      </patternFill>
    </fill>
    <fill>
      <patternFill patternType="solid">
        <fgColor rgb="FFF9F9F9"/>
        <bgColor indexed="64"/>
      </patternFill>
    </fill>
    <fill>
      <patternFill patternType="solid">
        <fgColor rgb="FFECF3F8"/>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rgb="FFDDDDDD"/>
      </left>
      <right style="medium">
        <color rgb="FFDDDDDD"/>
      </right>
      <top style="medium">
        <color rgb="FFDDDDDD"/>
      </top>
      <bottom/>
      <diagonal/>
    </border>
    <border>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top style="medium">
        <color rgb="FFE5E5E5"/>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dotted">
        <color indexed="64"/>
      </bottom>
      <diagonal/>
    </border>
  </borders>
  <cellStyleXfs count="4">
    <xf numFmtId="0" fontId="0" fillId="0" borderId="0"/>
    <xf numFmtId="0" fontId="25" fillId="0" borderId="0"/>
    <xf numFmtId="0" fontId="63" fillId="0" borderId="0" applyNumberFormat="0" applyFill="0" applyBorder="0" applyAlignment="0" applyProtection="0"/>
    <xf numFmtId="0" fontId="1" fillId="0" borderId="0"/>
  </cellStyleXfs>
  <cellXfs count="707">
    <xf numFmtId="0" fontId="0" fillId="0" borderId="0" xfId="0"/>
    <xf numFmtId="0" fontId="2" fillId="0" borderId="0" xfId="0" applyFont="1"/>
    <xf numFmtId="0" fontId="5" fillId="0" borderId="0" xfId="0" applyFont="1" applyAlignment="1">
      <alignment horizontal="center"/>
    </xf>
    <xf numFmtId="0" fontId="5" fillId="0" borderId="0" xfId="0" applyFont="1"/>
    <xf numFmtId="0" fontId="6" fillId="0" borderId="0" xfId="0" applyFont="1"/>
    <xf numFmtId="164" fontId="2" fillId="0" borderId="0" xfId="0" applyNumberFormat="1" applyFont="1"/>
    <xf numFmtId="0" fontId="2" fillId="0" borderId="0" xfId="0" applyFont="1" applyAlignment="1">
      <alignment vertical="center"/>
    </xf>
    <xf numFmtId="0" fontId="2" fillId="0" borderId="1" xfId="0" applyFont="1" applyBorder="1"/>
    <xf numFmtId="0" fontId="3" fillId="0" borderId="0" xfId="0" applyFont="1" applyAlignment="1">
      <alignment horizontal="left"/>
    </xf>
    <xf numFmtId="0" fontId="7"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2" fillId="0" borderId="2" xfId="0" applyFont="1" applyBorder="1"/>
    <xf numFmtId="0" fontId="2" fillId="0" borderId="1" xfId="0" applyFont="1" applyBorder="1" applyAlignment="1">
      <alignment vertical="center"/>
    </xf>
    <xf numFmtId="0" fontId="9" fillId="0" borderId="0" xfId="0" applyFont="1" applyAlignment="1">
      <alignment vertical="center"/>
    </xf>
    <xf numFmtId="0" fontId="2" fillId="2" borderId="1" xfId="0" applyFont="1" applyFill="1" applyBorder="1" applyAlignment="1">
      <alignment vertical="center"/>
    </xf>
    <xf numFmtId="0" fontId="9" fillId="0" borderId="1" xfId="0" applyFont="1" applyBorder="1" applyAlignment="1">
      <alignment vertical="center"/>
    </xf>
    <xf numFmtId="0" fontId="2" fillId="2" borderId="0" xfId="0" applyFont="1" applyFill="1" applyAlignment="1">
      <alignment vertical="center"/>
    </xf>
    <xf numFmtId="0" fontId="8" fillId="2" borderId="1" xfId="0" applyFont="1" applyFill="1" applyBorder="1" applyAlignment="1">
      <alignment horizontal="left" wrapText="1"/>
    </xf>
    <xf numFmtId="164" fontId="9" fillId="2" borderId="1" xfId="0" applyNumberFormat="1"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0" fontId="0" fillId="0" borderId="1" xfId="0" applyBorder="1" applyAlignment="1">
      <alignment horizontal="center" vertical="center"/>
    </xf>
    <xf numFmtId="0" fontId="12" fillId="2" borderId="1" xfId="0" applyFont="1" applyFill="1" applyBorder="1" applyAlignment="1">
      <alignment horizontal="left" wrapText="1"/>
    </xf>
    <xf numFmtId="165" fontId="0" fillId="0" borderId="1" xfId="0" applyNumberFormat="1" applyBorder="1" applyAlignment="1">
      <alignment horizontal="center" vertical="center"/>
    </xf>
    <xf numFmtId="0" fontId="13" fillId="2" borderId="1" xfId="0" applyFont="1" applyFill="1" applyBorder="1" applyAlignment="1">
      <alignment horizontal="left" wrapText="1"/>
    </xf>
    <xf numFmtId="0" fontId="14" fillId="0" borderId="1" xfId="0" applyFont="1" applyBorder="1" applyAlignment="1">
      <alignment horizontal="center" vertical="center"/>
    </xf>
    <xf numFmtId="0" fontId="8" fillId="2" borderId="1" xfId="0" applyFont="1" applyFill="1" applyBorder="1" applyAlignment="1">
      <alignment vertical="center" wrapText="1"/>
    </xf>
    <xf numFmtId="0" fontId="15" fillId="0" borderId="1" xfId="0" applyFont="1" applyBorder="1" applyAlignment="1">
      <alignment horizontal="center" vertical="center"/>
    </xf>
    <xf numFmtId="0" fontId="13" fillId="2" borderId="1" xfId="0" applyFont="1" applyFill="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 fontId="9" fillId="0" borderId="1" xfId="0" applyNumberFormat="1" applyFont="1" applyBorder="1" applyAlignment="1">
      <alignment vertical="center"/>
    </xf>
    <xf numFmtId="0" fontId="3" fillId="0" borderId="0" xfId="0" applyFont="1" applyAlignment="1">
      <alignment horizontal="center"/>
    </xf>
    <xf numFmtId="0" fontId="9" fillId="0" borderId="1" xfId="0" applyFont="1" applyBorder="1"/>
    <xf numFmtId="165" fontId="14"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165" fontId="17"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 fontId="2" fillId="0" borderId="0" xfId="0" applyNumberFormat="1" applyFont="1"/>
    <xf numFmtId="2" fontId="2" fillId="0" borderId="1" xfId="0" applyNumberFormat="1" applyFont="1" applyBorder="1" applyAlignment="1">
      <alignment vertical="center"/>
    </xf>
    <xf numFmtId="2" fontId="9" fillId="0" borderId="1" xfId="0" applyNumberFormat="1" applyFont="1" applyBorder="1" applyAlignment="1">
      <alignment vertical="center"/>
    </xf>
    <xf numFmtId="2" fontId="2" fillId="2" borderId="1" xfId="0" applyNumberFormat="1" applyFont="1" applyFill="1" applyBorder="1" applyAlignment="1">
      <alignment vertical="center"/>
    </xf>
    <xf numFmtId="0" fontId="8" fillId="2" borderId="1" xfId="0" applyFont="1" applyFill="1" applyBorder="1" applyAlignment="1">
      <alignment horizontal="left" vertical="center" wrapText="1"/>
    </xf>
    <xf numFmtId="165" fontId="0" fillId="2" borderId="1" xfId="0" applyNumberFormat="1" applyFill="1" applyBorder="1" applyAlignment="1">
      <alignment horizontal="center" vertical="center"/>
    </xf>
    <xf numFmtId="0" fontId="2" fillId="2" borderId="0" xfId="0" applyFont="1" applyFill="1"/>
    <xf numFmtId="0" fontId="2" fillId="2" borderId="1" xfId="0" applyFont="1" applyFill="1" applyBorder="1"/>
    <xf numFmtId="2" fontId="9" fillId="2"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2" fontId="2" fillId="2" borderId="1" xfId="0" applyNumberFormat="1" applyFont="1" applyFill="1" applyBorder="1" applyAlignment="1">
      <alignment horizontal="center" vertical="center"/>
    </xf>
    <xf numFmtId="0" fontId="6" fillId="0" borderId="0" xfId="0" applyFont="1" applyAlignment="1">
      <alignment horizontal="left"/>
    </xf>
    <xf numFmtId="1" fontId="2" fillId="2" borderId="0" xfId="0" applyNumberFormat="1" applyFont="1" applyFill="1"/>
    <xf numFmtId="1" fontId="2" fillId="0" borderId="0" xfId="0" applyNumberFormat="1" applyFont="1" applyAlignment="1">
      <alignment vertical="center"/>
    </xf>
    <xf numFmtId="0" fontId="2" fillId="0" borderId="0" xfId="0" applyFont="1" applyAlignment="1">
      <alignment horizontal="right"/>
    </xf>
    <xf numFmtId="0" fontId="2" fillId="0" borderId="0" xfId="0" applyFont="1" applyAlignment="1">
      <alignment horizontal="right" vertical="center"/>
    </xf>
    <xf numFmtId="165" fontId="25" fillId="0" borderId="1" xfId="0" applyNumberFormat="1" applyFont="1" applyBorder="1" applyAlignment="1">
      <alignment horizontal="center" vertical="center"/>
    </xf>
    <xf numFmtId="0" fontId="26" fillId="2" borderId="1" xfId="0" applyFont="1" applyFill="1" applyBorder="1" applyAlignment="1">
      <alignment vertical="center" wrapText="1"/>
    </xf>
    <xf numFmtId="0" fontId="18" fillId="2" borderId="0" xfId="0" applyFont="1" applyFill="1"/>
    <xf numFmtId="0" fontId="18" fillId="2" borderId="0" xfId="0" applyFont="1" applyFill="1" applyAlignment="1">
      <alignment horizontal="center"/>
    </xf>
    <xf numFmtId="2" fontId="2" fillId="2" borderId="0" xfId="0" applyNumberFormat="1" applyFont="1" applyFill="1"/>
    <xf numFmtId="0" fontId="24" fillId="2" borderId="0" xfId="0" applyFont="1" applyFill="1"/>
    <xf numFmtId="0" fontId="23" fillId="2" borderId="0" xfId="0" applyFont="1" applyFill="1" applyAlignment="1">
      <alignment horizontal="center" vertical="center"/>
    </xf>
    <xf numFmtId="0" fontId="29" fillId="2" borderId="0" xfId="0" applyFont="1" applyFill="1" applyAlignment="1">
      <alignment horizontal="center"/>
    </xf>
    <xf numFmtId="0" fontId="30" fillId="2" borderId="0" xfId="0" applyFont="1" applyFill="1" applyAlignment="1">
      <alignment horizontal="center"/>
    </xf>
    <xf numFmtId="0" fontId="0" fillId="2" borderId="0" xfId="0" applyFill="1"/>
    <xf numFmtId="0" fontId="31" fillId="2" borderId="0" xfId="0" applyFont="1" applyFill="1" applyAlignment="1">
      <alignment horizontal="center" vertical="center"/>
    </xf>
    <xf numFmtId="0" fontId="31" fillId="0" borderId="0" xfId="0" applyFont="1"/>
    <xf numFmtId="0" fontId="32" fillId="0" borderId="0" xfId="0" applyFont="1"/>
    <xf numFmtId="0" fontId="32" fillId="2" borderId="0" xfId="0" applyFont="1" applyFill="1"/>
    <xf numFmtId="0" fontId="31" fillId="2" borderId="0" xfId="0" applyFont="1" applyFill="1"/>
    <xf numFmtId="2" fontId="33" fillId="2" borderId="1" xfId="0" applyNumberFormat="1" applyFont="1" applyFill="1" applyBorder="1" applyAlignment="1">
      <alignment horizontal="right" vertical="center"/>
    </xf>
    <xf numFmtId="0" fontId="31" fillId="0" borderId="0" xfId="0" quotePrefix="1" applyFont="1"/>
    <xf numFmtId="2" fontId="33" fillId="0" borderId="0" xfId="0" applyNumberFormat="1" applyFont="1" applyAlignment="1">
      <alignment horizontal="left"/>
    </xf>
    <xf numFmtId="0" fontId="31" fillId="0" borderId="0" xfId="0" applyFont="1" applyAlignment="1">
      <alignment horizontal="left"/>
    </xf>
    <xf numFmtId="1" fontId="33" fillId="0" borderId="1" xfId="0" applyNumberFormat="1" applyFont="1" applyBorder="1" applyAlignment="1">
      <alignment horizontal="right" vertical="center"/>
    </xf>
    <xf numFmtId="2" fontId="33" fillId="0" borderId="1" xfId="0" applyNumberFormat="1" applyFont="1" applyBorder="1" applyAlignment="1">
      <alignment horizontal="right" vertical="center"/>
    </xf>
    <xf numFmtId="0" fontId="33" fillId="0" borderId="0" xfId="0" applyFont="1"/>
    <xf numFmtId="2" fontId="33" fillId="0" borderId="0" xfId="0" applyNumberFormat="1" applyFont="1"/>
    <xf numFmtId="0" fontId="34" fillId="2" borderId="8" xfId="0" applyFont="1" applyFill="1" applyBorder="1" applyAlignment="1">
      <alignment horizontal="center" vertical="center"/>
    </xf>
    <xf numFmtId="0" fontId="34" fillId="2"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horizontal="center" vertical="center" wrapText="1"/>
    </xf>
    <xf numFmtId="0" fontId="34" fillId="0" borderId="5" xfId="0" applyFont="1" applyBorder="1" applyAlignment="1">
      <alignment horizontal="center" wrapText="1"/>
    </xf>
    <xf numFmtId="0" fontId="33" fillId="0" borderId="9" xfId="0" applyFont="1" applyBorder="1" applyAlignment="1">
      <alignment horizontal="center" vertical="center"/>
    </xf>
    <xf numFmtId="0" fontId="0" fillId="0" borderId="9" xfId="0" applyBorder="1"/>
    <xf numFmtId="0" fontId="33" fillId="2" borderId="9" xfId="0" applyFont="1" applyFill="1" applyBorder="1" applyAlignment="1">
      <alignment horizontal="center" vertical="center"/>
    </xf>
    <xf numFmtId="0" fontId="35" fillId="0" borderId="7" xfId="0" applyFont="1" applyBorder="1"/>
    <xf numFmtId="0" fontId="35" fillId="2" borderId="7" xfId="0" applyFont="1" applyFill="1" applyBorder="1"/>
    <xf numFmtId="2" fontId="36" fillId="2" borderId="10" xfId="0" applyNumberFormat="1" applyFont="1" applyFill="1" applyBorder="1" applyAlignment="1">
      <alignment horizontal="center" vertical="center"/>
    </xf>
    <xf numFmtId="0" fontId="35" fillId="0" borderId="4" xfId="0" applyFont="1" applyBorder="1"/>
    <xf numFmtId="0" fontId="37" fillId="0" borderId="0" xfId="0" applyFont="1"/>
    <xf numFmtId="0" fontId="38" fillId="2" borderId="10" xfId="0" applyFont="1" applyFill="1" applyBorder="1" applyAlignment="1">
      <alignment horizontal="center" vertical="center"/>
    </xf>
    <xf numFmtId="0" fontId="34" fillId="2" borderId="10" xfId="0" applyFont="1" applyFill="1" applyBorder="1" applyAlignment="1">
      <alignment horizontal="left" vertical="center" wrapText="1"/>
    </xf>
    <xf numFmtId="0" fontId="34" fillId="2" borderId="10" xfId="0" applyFont="1" applyFill="1" applyBorder="1" applyAlignment="1">
      <alignment horizontal="center" vertical="center" wrapText="1"/>
    </xf>
    <xf numFmtId="2" fontId="38" fillId="2" borderId="10" xfId="0" applyNumberFormat="1" applyFont="1" applyFill="1" applyBorder="1" applyAlignment="1">
      <alignment horizontal="center" vertical="center"/>
    </xf>
    <xf numFmtId="0" fontId="39" fillId="2" borderId="10" xfId="0" applyFont="1" applyFill="1" applyBorder="1" applyAlignment="1">
      <alignment horizontal="center" vertical="center" wrapText="1"/>
    </xf>
    <xf numFmtId="2" fontId="38" fillId="2" borderId="5" xfId="0" applyNumberFormat="1" applyFont="1" applyFill="1" applyBorder="1" applyAlignment="1">
      <alignment horizontal="center" vertical="center"/>
    </xf>
    <xf numFmtId="0" fontId="40" fillId="0" borderId="0" xfId="0" applyFont="1"/>
    <xf numFmtId="0" fontId="38" fillId="2" borderId="11" xfId="0" applyFont="1" applyFill="1" applyBorder="1" applyAlignment="1">
      <alignment horizontal="center" vertical="center"/>
    </xf>
    <xf numFmtId="0" fontId="34" fillId="2" borderId="11" xfId="0" applyFont="1" applyFill="1" applyBorder="1" applyAlignment="1">
      <alignment horizontal="left" vertical="center" wrapText="1"/>
    </xf>
    <xf numFmtId="0" fontId="34" fillId="2" borderId="11" xfId="0" applyFont="1" applyFill="1" applyBorder="1" applyAlignment="1">
      <alignment horizontal="center" vertical="center" wrapText="1"/>
    </xf>
    <xf numFmtId="167" fontId="38" fillId="2" borderId="11" xfId="0" applyNumberFormat="1" applyFont="1" applyFill="1" applyBorder="1" applyAlignment="1">
      <alignment horizontal="center" vertical="center"/>
    </xf>
    <xf numFmtId="0" fontId="39" fillId="2" borderId="11" xfId="0" applyFont="1" applyFill="1" applyBorder="1" applyAlignment="1">
      <alignment horizontal="center" vertical="center" wrapText="1"/>
    </xf>
    <xf numFmtId="2" fontId="38" fillId="2" borderId="11" xfId="0" applyNumberFormat="1" applyFont="1" applyFill="1" applyBorder="1" applyAlignment="1">
      <alignment horizontal="center" vertical="center"/>
    </xf>
    <xf numFmtId="0" fontId="34" fillId="2" borderId="11" xfId="0" applyFont="1" applyFill="1" applyBorder="1" applyAlignment="1">
      <alignment horizontal="center" vertical="center"/>
    </xf>
    <xf numFmtId="2" fontId="38" fillId="2" borderId="12" xfId="0" applyNumberFormat="1" applyFont="1" applyFill="1" applyBorder="1" applyAlignment="1">
      <alignment horizontal="center" vertical="center"/>
    </xf>
    <xf numFmtId="0" fontId="39" fillId="2" borderId="11" xfId="0" applyFont="1" applyFill="1" applyBorder="1" applyAlignment="1">
      <alignment horizontal="center" vertical="center"/>
    </xf>
    <xf numFmtId="0" fontId="39" fillId="2" borderId="11" xfId="0" applyFont="1" applyFill="1" applyBorder="1" applyAlignment="1">
      <alignment horizontal="left" vertical="center" wrapText="1"/>
    </xf>
    <xf numFmtId="0" fontId="34" fillId="2" borderId="11" xfId="0" applyFont="1" applyFill="1" applyBorder="1" applyAlignment="1">
      <alignment horizontal="right" vertical="center"/>
    </xf>
    <xf numFmtId="0" fontId="39" fillId="2" borderId="9" xfId="0" applyFont="1" applyFill="1" applyBorder="1" applyAlignment="1">
      <alignment horizontal="center" vertical="center"/>
    </xf>
    <xf numFmtId="0" fontId="39" fillId="2" borderId="9" xfId="0" applyFont="1" applyFill="1" applyBorder="1" applyAlignment="1">
      <alignment horizontal="left" vertical="center" wrapText="1"/>
    </xf>
    <xf numFmtId="0" fontId="38" fillId="2" borderId="9" xfId="0" applyFont="1" applyFill="1" applyBorder="1" applyAlignment="1">
      <alignment horizontal="center" vertical="center"/>
    </xf>
    <xf numFmtId="0" fontId="41" fillId="2" borderId="9" xfId="0" applyFont="1" applyFill="1" applyBorder="1" applyAlignment="1">
      <alignment horizontal="center" vertical="center" wrapText="1"/>
    </xf>
    <xf numFmtId="0" fontId="35" fillId="2" borderId="7" xfId="0" applyFont="1" applyFill="1" applyBorder="1" applyAlignment="1">
      <alignment wrapText="1"/>
    </xf>
    <xf numFmtId="0" fontId="0" fillId="2" borderId="0" xfId="0" applyFill="1" applyAlignment="1">
      <alignment wrapText="1"/>
    </xf>
    <xf numFmtId="0" fontId="39" fillId="2" borderId="1" xfId="0" applyFont="1" applyFill="1" applyBorder="1" applyAlignment="1">
      <alignment horizontal="center" vertical="center" wrapText="1"/>
    </xf>
    <xf numFmtId="0" fontId="35" fillId="2" borderId="4" xfId="0" applyFont="1" applyFill="1" applyBorder="1" applyAlignment="1">
      <alignment wrapText="1"/>
    </xf>
    <xf numFmtId="0" fontId="0" fillId="0" borderId="0" xfId="0" applyAlignment="1">
      <alignment wrapText="1"/>
    </xf>
    <xf numFmtId="167" fontId="38" fillId="2" borderId="10" xfId="0" applyNumberFormat="1" applyFont="1" applyFill="1" applyBorder="1" applyAlignment="1">
      <alignment horizontal="center" vertical="center"/>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4" fillId="2" borderId="9" xfId="0" applyFont="1" applyFill="1" applyBorder="1" applyAlignment="1">
      <alignment horizontal="left" vertical="center" wrapText="1"/>
    </xf>
    <xf numFmtId="0" fontId="34" fillId="2" borderId="9" xfId="0" applyFont="1" applyFill="1" applyBorder="1" applyAlignment="1">
      <alignment horizontal="center" vertical="center" wrapText="1"/>
    </xf>
    <xf numFmtId="167" fontId="38" fillId="2" borderId="9" xfId="0" applyNumberFormat="1" applyFont="1" applyFill="1" applyBorder="1" applyAlignment="1">
      <alignment horizontal="center" vertical="center"/>
    </xf>
    <xf numFmtId="2" fontId="38" fillId="2" borderId="9" xfId="0" applyNumberFormat="1" applyFont="1" applyFill="1" applyBorder="1" applyAlignment="1">
      <alignment horizontal="center" vertical="center"/>
    </xf>
    <xf numFmtId="0" fontId="39" fillId="2" borderId="9"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5" fillId="2" borderId="14" xfId="0" quotePrefix="1" applyFont="1" applyFill="1" applyBorder="1"/>
    <xf numFmtId="0" fontId="36" fillId="2" borderId="15" xfId="0" applyFont="1" applyFill="1" applyBorder="1" applyAlignment="1">
      <alignment horizontal="center" vertical="center"/>
    </xf>
    <xf numFmtId="0" fontId="39" fillId="2" borderId="5" xfId="0" applyFont="1" applyFill="1" applyBorder="1" applyAlignment="1">
      <alignment horizontal="center" vertical="center" wrapText="1"/>
    </xf>
    <xf numFmtId="0" fontId="35" fillId="2" borderId="16" xfId="0" quotePrefix="1" applyFont="1" applyFill="1" applyBorder="1"/>
    <xf numFmtId="2" fontId="39" fillId="2" borderId="11" xfId="0" applyNumberFormat="1" applyFont="1" applyFill="1" applyBorder="1" applyAlignment="1">
      <alignment horizontal="center" vertical="center"/>
    </xf>
    <xf numFmtId="2" fontId="43" fillId="2" borderId="11" xfId="0" applyNumberFormat="1" applyFont="1" applyFill="1" applyBorder="1" applyAlignment="1">
      <alignment horizontal="center" vertical="center"/>
    </xf>
    <xf numFmtId="2" fontId="43" fillId="2" borderId="9" xfId="0" applyNumberFormat="1" applyFont="1" applyFill="1" applyBorder="1" applyAlignment="1">
      <alignment horizontal="center" vertical="center"/>
    </xf>
    <xf numFmtId="0" fontId="35" fillId="2" borderId="3" xfId="0" quotePrefix="1" applyFont="1" applyFill="1" applyBorder="1"/>
    <xf numFmtId="0" fontId="36" fillId="2" borderId="11" xfId="0" applyFont="1" applyFill="1" applyBorder="1" applyAlignment="1">
      <alignment horizontal="center" vertical="center"/>
    </xf>
    <xf numFmtId="2" fontId="39" fillId="2" borderId="1" xfId="0" applyNumberFormat="1" applyFont="1" applyFill="1" applyBorder="1" applyAlignment="1">
      <alignment horizontal="center" vertical="center"/>
    </xf>
    <xf numFmtId="0" fontId="35" fillId="2" borderId="4" xfId="0" applyFont="1" applyFill="1" applyBorder="1"/>
    <xf numFmtId="0" fontId="40" fillId="2" borderId="10" xfId="0" applyFont="1" applyFill="1" applyBorder="1"/>
    <xf numFmtId="2" fontId="39" fillId="2" borderId="10" xfId="0" applyNumberFormat="1" applyFont="1" applyFill="1" applyBorder="1" applyAlignment="1">
      <alignment horizontal="center" vertical="center"/>
    </xf>
    <xf numFmtId="0" fontId="40" fillId="2" borderId="11" xfId="0" applyFont="1" applyFill="1" applyBorder="1"/>
    <xf numFmtId="2" fontId="44" fillId="2" borderId="11" xfId="0" applyNumberFormat="1" applyFont="1" applyFill="1" applyBorder="1" applyAlignment="1">
      <alignment horizontal="center" vertical="center"/>
    </xf>
    <xf numFmtId="0" fontId="43" fillId="2" borderId="11" xfId="0" applyFont="1" applyFill="1" applyBorder="1" applyAlignment="1">
      <alignment horizontal="center" vertical="center"/>
    </xf>
    <xf numFmtId="0" fontId="34" fillId="2" borderId="15" xfId="0" applyFont="1" applyFill="1" applyBorder="1" applyAlignment="1">
      <alignment horizontal="left" vertical="center" wrapText="1"/>
    </xf>
    <xf numFmtId="0" fontId="40" fillId="2" borderId="15" xfId="0" applyFont="1" applyFill="1" applyBorder="1"/>
    <xf numFmtId="0" fontId="38" fillId="2" borderId="15" xfId="0" applyFont="1" applyFill="1" applyBorder="1" applyAlignment="1">
      <alignment horizontal="center" vertical="center"/>
    </xf>
    <xf numFmtId="0" fontId="43" fillId="2" borderId="15" xfId="0" applyFont="1" applyFill="1" applyBorder="1" applyAlignment="1">
      <alignment horizontal="center" vertical="center"/>
    </xf>
    <xf numFmtId="2" fontId="38" fillId="2" borderId="15" xfId="0" applyNumberFormat="1" applyFont="1" applyFill="1" applyBorder="1" applyAlignment="1">
      <alignment horizontal="center" vertical="center"/>
    </xf>
    <xf numFmtId="0" fontId="34" fillId="2" borderId="12" xfId="0" applyFont="1" applyFill="1" applyBorder="1" applyAlignment="1">
      <alignment horizontal="left" vertical="center" wrapText="1"/>
    </xf>
    <xf numFmtId="0" fontId="40" fillId="2" borderId="12" xfId="0" applyFont="1" applyFill="1" applyBorder="1"/>
    <xf numFmtId="0" fontId="34" fillId="2" borderId="12" xfId="0" applyFont="1" applyFill="1" applyBorder="1" applyAlignment="1">
      <alignment horizontal="right" vertical="center"/>
    </xf>
    <xf numFmtId="0" fontId="38" fillId="2" borderId="12" xfId="0" applyFont="1" applyFill="1" applyBorder="1" applyAlignment="1">
      <alignment horizontal="center" vertical="center"/>
    </xf>
    <xf numFmtId="0" fontId="39" fillId="2" borderId="12" xfId="0" applyFont="1" applyFill="1" applyBorder="1" applyAlignment="1">
      <alignment horizontal="center" vertical="center" wrapText="1"/>
    </xf>
    <xf numFmtId="0" fontId="33" fillId="2" borderId="1" xfId="0" applyFont="1" applyFill="1" applyBorder="1" applyAlignment="1">
      <alignment horizontal="center" vertical="center"/>
    </xf>
    <xf numFmtId="0" fontId="31" fillId="2" borderId="1" xfId="0" applyFont="1" applyFill="1" applyBorder="1" applyAlignment="1">
      <alignment horizontal="left" vertical="center" wrapText="1"/>
    </xf>
    <xf numFmtId="0" fontId="32" fillId="2" borderId="1" xfId="0" applyFont="1" applyFill="1" applyBorder="1" applyAlignment="1">
      <alignment horizontal="right" vertical="center"/>
    </xf>
    <xf numFmtId="2" fontId="43" fillId="2" borderId="1" xfId="0" applyNumberFormat="1" applyFont="1" applyFill="1" applyBorder="1" applyAlignment="1">
      <alignment horizontal="center" vertical="center"/>
    </xf>
    <xf numFmtId="0" fontId="43" fillId="2"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45" fillId="2" borderId="1" xfId="0" applyFont="1" applyFill="1" applyBorder="1" applyAlignment="1">
      <alignment horizontal="right" vertical="center"/>
    </xf>
    <xf numFmtId="0" fontId="45" fillId="0" borderId="0" xfId="0" applyFont="1"/>
    <xf numFmtId="0" fontId="45" fillId="0" borderId="0" xfId="0" applyFont="1" applyAlignment="1">
      <alignment horizontal="right"/>
    </xf>
    <xf numFmtId="0" fontId="45" fillId="2" borderId="0" xfId="0" applyFont="1" applyFill="1" applyAlignment="1">
      <alignment horizontal="right"/>
    </xf>
    <xf numFmtId="0" fontId="47" fillId="2" borderId="0" xfId="0" applyFont="1" applyFill="1" applyAlignment="1">
      <alignment horizontal="right"/>
    </xf>
    <xf numFmtId="0" fontId="45" fillId="2" borderId="0" xfId="0" applyFont="1" applyFill="1"/>
    <xf numFmtId="0" fontId="46" fillId="0" borderId="0" xfId="0" applyFont="1"/>
    <xf numFmtId="167" fontId="46" fillId="2" borderId="0" xfId="0" applyNumberFormat="1" applyFont="1" applyFill="1"/>
    <xf numFmtId="0" fontId="46" fillId="2" borderId="0" xfId="0" applyFont="1" applyFill="1"/>
    <xf numFmtId="2" fontId="0" fillId="0" borderId="0" xfId="0" applyNumberFormat="1"/>
    <xf numFmtId="2" fontId="48" fillId="2" borderId="0" xfId="0" applyNumberFormat="1" applyFont="1" applyFill="1" applyAlignment="1">
      <alignment horizontal="right" vertical="center"/>
    </xf>
    <xf numFmtId="0" fontId="25" fillId="0" borderId="0" xfId="0" applyFont="1"/>
    <xf numFmtId="165" fontId="51" fillId="2" borderId="10" xfId="0" applyNumberFormat="1" applyFont="1" applyFill="1" applyBorder="1" applyAlignment="1">
      <alignment horizontal="center" vertical="center"/>
    </xf>
    <xf numFmtId="0" fontId="52" fillId="2" borderId="10" xfId="0" applyFont="1" applyFill="1" applyBorder="1" applyAlignment="1">
      <alignment horizontal="left" wrapText="1"/>
    </xf>
    <xf numFmtId="0" fontId="53" fillId="2" borderId="9" xfId="0" applyFont="1" applyFill="1" applyBorder="1" applyAlignment="1">
      <alignment horizontal="center" vertical="center"/>
    </xf>
    <xf numFmtId="0" fontId="39" fillId="2" borderId="9" xfId="0" applyFont="1" applyFill="1" applyBorder="1" applyAlignment="1">
      <alignment horizontal="left" wrapText="1"/>
    </xf>
    <xf numFmtId="165" fontId="51" fillId="2" borderId="1" xfId="0" applyNumberFormat="1" applyFont="1" applyFill="1" applyBorder="1" applyAlignment="1">
      <alignment horizontal="center" vertical="center"/>
    </xf>
    <xf numFmtId="0" fontId="52" fillId="2" borderId="1" xfId="0" applyFont="1" applyFill="1" applyBorder="1" applyAlignment="1">
      <alignment horizontal="left" wrapText="1"/>
    </xf>
    <xf numFmtId="0" fontId="35" fillId="2" borderId="1" xfId="0" applyFont="1" applyFill="1" applyBorder="1" applyAlignment="1">
      <alignment wrapText="1"/>
    </xf>
    <xf numFmtId="0" fontId="38" fillId="2" borderId="1" xfId="0" applyFont="1" applyFill="1" applyBorder="1" applyAlignment="1">
      <alignment horizontal="center" vertical="center"/>
    </xf>
    <xf numFmtId="2" fontId="38" fillId="2" borderId="1" xfId="0" applyNumberFormat="1" applyFont="1" applyFill="1" applyBorder="1" applyAlignment="1">
      <alignment horizontal="center" vertical="center"/>
    </xf>
    <xf numFmtId="0" fontId="53" fillId="2" borderId="12" xfId="0" applyFont="1" applyFill="1" applyBorder="1" applyAlignment="1">
      <alignment horizontal="center" vertical="center"/>
    </xf>
    <xf numFmtId="0" fontId="39" fillId="2" borderId="10" xfId="0" applyFont="1" applyFill="1" applyBorder="1" applyAlignment="1">
      <alignment horizontal="left" wrapText="1"/>
    </xf>
    <xf numFmtId="0" fontId="53" fillId="2" borderId="11" xfId="0" applyFont="1" applyFill="1" applyBorder="1" applyAlignment="1">
      <alignment horizontal="center" vertical="center"/>
    </xf>
    <xf numFmtId="0" fontId="39" fillId="2" borderId="11" xfId="0" applyFont="1" applyFill="1" applyBorder="1" applyAlignment="1">
      <alignment horizontal="left" wrapText="1"/>
    </xf>
    <xf numFmtId="0" fontId="54" fillId="2" borderId="11" xfId="0" applyFont="1" applyFill="1" applyBorder="1" applyAlignment="1">
      <alignment horizontal="left" wrapText="1"/>
    </xf>
    <xf numFmtId="0" fontId="34" fillId="2" borderId="15" xfId="0" applyFont="1" applyFill="1" applyBorder="1" applyAlignment="1">
      <alignment horizontal="center" vertical="center" wrapText="1"/>
    </xf>
    <xf numFmtId="0" fontId="38" fillId="2" borderId="5" xfId="0" applyFont="1" applyFill="1" applyBorder="1" applyAlignment="1">
      <alignment horizontal="center" vertical="center"/>
    </xf>
    <xf numFmtId="167" fontId="38" fillId="2" borderId="5" xfId="0" applyNumberFormat="1" applyFont="1" applyFill="1" applyBorder="1" applyAlignment="1">
      <alignment horizontal="center" vertical="center"/>
    </xf>
    <xf numFmtId="0" fontId="38" fillId="2" borderId="15" xfId="0" applyFont="1" applyFill="1" applyBorder="1" applyAlignment="1">
      <alignment horizontal="center" vertical="center" wrapText="1"/>
    </xf>
    <xf numFmtId="0" fontId="35" fillId="2" borderId="9" xfId="0" applyFont="1" applyFill="1" applyBorder="1" applyAlignment="1">
      <alignment wrapText="1"/>
    </xf>
    <xf numFmtId="165" fontId="55" fillId="0" borderId="1" xfId="0" applyNumberFormat="1" applyFont="1" applyBorder="1" applyAlignment="1">
      <alignment horizontal="center" vertical="center"/>
    </xf>
    <xf numFmtId="0" fontId="40" fillId="2" borderId="1" xfId="0" applyFont="1" applyFill="1" applyBorder="1"/>
    <xf numFmtId="0" fontId="34" fillId="2" borderId="1" xfId="0" applyFont="1" applyFill="1" applyBorder="1" applyAlignment="1">
      <alignment horizontal="right" vertical="center"/>
    </xf>
    <xf numFmtId="167" fontId="38" fillId="2" borderId="1" xfId="0" applyNumberFormat="1" applyFont="1" applyFill="1" applyBorder="1" applyAlignment="1">
      <alignment horizontal="center" vertical="center"/>
    </xf>
    <xf numFmtId="0" fontId="34" fillId="2" borderId="12" xfId="0" applyFont="1" applyFill="1" applyBorder="1" applyAlignment="1">
      <alignment horizontal="center" vertical="center" wrapText="1"/>
    </xf>
    <xf numFmtId="167" fontId="38" fillId="2" borderId="12" xfId="0" applyNumberFormat="1" applyFont="1" applyFill="1" applyBorder="1" applyAlignment="1">
      <alignment horizontal="center" vertical="center"/>
    </xf>
    <xf numFmtId="0" fontId="38" fillId="2" borderId="6" xfId="0" applyFont="1" applyFill="1" applyBorder="1" applyAlignment="1">
      <alignment horizontal="center" vertical="center"/>
    </xf>
    <xf numFmtId="2" fontId="38" fillId="2" borderId="6" xfId="0" applyNumberFormat="1" applyFont="1" applyFill="1" applyBorder="1" applyAlignment="1">
      <alignment horizontal="center" vertical="center"/>
    </xf>
    <xf numFmtId="0" fontId="41" fillId="2" borderId="1" xfId="0" applyFont="1" applyFill="1" applyBorder="1" applyAlignment="1">
      <alignment horizontal="left" vertical="center" wrapText="1"/>
    </xf>
    <xf numFmtId="0" fontId="56" fillId="2" borderId="1" xfId="0" applyFont="1" applyFill="1" applyBorder="1" applyAlignment="1">
      <alignment horizontal="left" vertical="center" wrapText="1"/>
    </xf>
    <xf numFmtId="0" fontId="58" fillId="3" borderId="18" xfId="1" applyFont="1" applyFill="1" applyBorder="1" applyAlignment="1">
      <alignment vertical="top" wrapText="1"/>
    </xf>
    <xf numFmtId="0" fontId="58" fillId="3" borderId="19" xfId="1" applyFont="1" applyFill="1" applyBorder="1" applyAlignment="1">
      <alignment vertical="top" wrapText="1"/>
    </xf>
    <xf numFmtId="0" fontId="58" fillId="0" borderId="0" xfId="1" applyFont="1"/>
    <xf numFmtId="0" fontId="58" fillId="0" borderId="18" xfId="1" applyFont="1" applyBorder="1" applyAlignment="1">
      <alignment vertical="top" wrapText="1"/>
    </xf>
    <xf numFmtId="0" fontId="58" fillId="0" borderId="19" xfId="1" applyFont="1" applyBorder="1" applyAlignment="1">
      <alignment vertical="top" wrapText="1"/>
    </xf>
    <xf numFmtId="0" fontId="58" fillId="4" borderId="18" xfId="1" applyFont="1" applyFill="1" applyBorder="1" applyAlignment="1">
      <alignment vertical="top" wrapText="1"/>
    </xf>
    <xf numFmtId="0" fontId="58" fillId="4" borderId="19" xfId="1" applyFont="1" applyFill="1" applyBorder="1" applyAlignment="1">
      <alignment vertical="top" wrapText="1"/>
    </xf>
    <xf numFmtId="0" fontId="58" fillId="0" borderId="20" xfId="1" applyFont="1" applyBorder="1" applyAlignment="1">
      <alignment vertical="top" wrapText="1"/>
    </xf>
    <xf numFmtId="0" fontId="58" fillId="0" borderId="21" xfId="1" applyFont="1" applyBorder="1" applyAlignment="1">
      <alignment vertical="top" wrapText="1"/>
    </xf>
    <xf numFmtId="0" fontId="62" fillId="0" borderId="0" xfId="1" applyFont="1" applyAlignment="1">
      <alignment vertical="center" wrapText="1"/>
    </xf>
    <xf numFmtId="0" fontId="64" fillId="0" borderId="0" xfId="2" applyFont="1" applyAlignment="1">
      <alignment horizontal="left" vertical="center" indent="2"/>
    </xf>
    <xf numFmtId="0" fontId="65" fillId="0" borderId="22" xfId="1" applyFont="1" applyBorder="1" applyAlignment="1">
      <alignment horizontal="right" vertical="center" wrapText="1" indent="1"/>
    </xf>
    <xf numFmtId="2" fontId="58" fillId="0" borderId="0" xfId="1" applyNumberFormat="1" applyFont="1" applyAlignment="1">
      <alignment vertical="top"/>
    </xf>
    <xf numFmtId="0" fontId="58" fillId="0" borderId="0" xfId="0" applyFont="1"/>
    <xf numFmtId="0" fontId="1" fillId="2" borderId="0" xfId="3" applyFill="1" applyAlignment="1">
      <alignment wrapText="1"/>
    </xf>
    <xf numFmtId="0" fontId="1" fillId="0" borderId="0" xfId="3" applyAlignment="1">
      <alignment wrapText="1"/>
    </xf>
    <xf numFmtId="0" fontId="69" fillId="2" borderId="1"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74" fillId="2" borderId="1" xfId="3" applyFont="1" applyFill="1" applyBorder="1" applyAlignment="1">
      <alignment horizontal="center" vertical="center" wrapText="1"/>
    </xf>
    <xf numFmtId="0" fontId="12" fillId="2" borderId="1" xfId="3" applyFont="1" applyFill="1" applyBorder="1" applyAlignment="1">
      <alignment horizontal="left" wrapText="1"/>
    </xf>
    <xf numFmtId="0" fontId="8" fillId="2" borderId="1" xfId="3" applyFont="1" applyFill="1" applyBorder="1" applyAlignment="1">
      <alignment horizontal="center" wrapText="1"/>
    </xf>
    <xf numFmtId="0" fontId="75" fillId="2" borderId="1" xfId="3" applyFont="1" applyFill="1" applyBorder="1" applyAlignment="1">
      <alignment horizontal="center" wrapText="1"/>
    </xf>
    <xf numFmtId="0" fontId="66" fillId="0" borderId="1" xfId="3" applyFont="1" applyBorder="1" applyAlignment="1">
      <alignment vertical="center" wrapText="1"/>
    </xf>
    <xf numFmtId="0" fontId="8" fillId="2" borderId="1" xfId="3" applyFont="1" applyFill="1" applyBorder="1" applyAlignment="1">
      <alignment horizontal="left" vertical="center" wrapText="1"/>
    </xf>
    <xf numFmtId="0" fontId="76" fillId="5" borderId="1" xfId="3" applyFont="1" applyFill="1" applyBorder="1" applyAlignment="1">
      <alignment horizontal="left" vertical="center" wrapText="1"/>
    </xf>
    <xf numFmtId="0" fontId="1" fillId="0" borderId="1" xfId="3" applyBorder="1" applyAlignment="1">
      <alignment vertical="center" wrapText="1"/>
    </xf>
    <xf numFmtId="0" fontId="77" fillId="2" borderId="1" xfId="3" applyFont="1" applyFill="1" applyBorder="1" applyAlignment="1">
      <alignment horizontal="center" vertical="center" wrapText="1"/>
    </xf>
    <xf numFmtId="0" fontId="8" fillId="2" borderId="1" xfId="3" applyFont="1" applyFill="1" applyBorder="1" applyAlignment="1">
      <alignment horizontal="left" wrapText="1"/>
    </xf>
    <xf numFmtId="0" fontId="76" fillId="6" borderId="1" xfId="3" applyFont="1" applyFill="1" applyBorder="1" applyAlignment="1">
      <alignment horizontal="left" vertical="center" wrapText="1"/>
    </xf>
    <xf numFmtId="0" fontId="12" fillId="2" borderId="1" xfId="3" applyFont="1" applyFill="1" applyBorder="1" applyAlignment="1">
      <alignment horizontal="center" wrapText="1"/>
    </xf>
    <xf numFmtId="0" fontId="76" fillId="2" borderId="1" xfId="3" applyFont="1" applyFill="1" applyBorder="1" applyAlignment="1">
      <alignment horizontal="left" vertical="center" wrapText="1"/>
    </xf>
    <xf numFmtId="0" fontId="8" fillId="2" borderId="1" xfId="3" applyFont="1" applyFill="1" applyBorder="1" applyAlignment="1">
      <alignment vertical="center" wrapText="1"/>
    </xf>
    <xf numFmtId="0" fontId="77" fillId="2" borderId="1" xfId="3" applyFont="1" applyFill="1" applyBorder="1" applyAlignment="1">
      <alignment horizontal="center" wrapText="1"/>
    </xf>
    <xf numFmtId="0" fontId="74" fillId="2" borderId="1" xfId="3" applyFont="1" applyFill="1" applyBorder="1" applyAlignment="1">
      <alignment horizontal="center" wrapText="1"/>
    </xf>
    <xf numFmtId="0" fontId="78" fillId="2" borderId="1" xfId="3" applyFont="1" applyFill="1" applyBorder="1" applyAlignment="1">
      <alignment wrapText="1"/>
    </xf>
    <xf numFmtId="0" fontId="78" fillId="2" borderId="1" xfId="3" applyFont="1" applyFill="1" applyBorder="1" applyAlignment="1">
      <alignment horizontal="center" wrapText="1"/>
    </xf>
    <xf numFmtId="0" fontId="78" fillId="2" borderId="1" xfId="3" applyFont="1" applyFill="1" applyBorder="1" applyAlignment="1">
      <alignment horizontal="center" vertical="center" wrapText="1"/>
    </xf>
    <xf numFmtId="0" fontId="1" fillId="2" borderId="0" xfId="3" applyFill="1" applyAlignment="1">
      <alignment vertical="center" wrapText="1"/>
    </xf>
    <xf numFmtId="0" fontId="1" fillId="0" borderId="0" xfId="3" applyAlignment="1">
      <alignment vertical="center" wrapText="1"/>
    </xf>
    <xf numFmtId="0" fontId="8" fillId="2" borderId="1" xfId="3" applyFont="1" applyFill="1" applyBorder="1" applyAlignment="1">
      <alignment wrapText="1"/>
    </xf>
    <xf numFmtId="0" fontId="78" fillId="2" borderId="1" xfId="3" applyFont="1" applyFill="1" applyBorder="1" applyAlignment="1">
      <alignment vertical="center" wrapText="1"/>
    </xf>
    <xf numFmtId="165" fontId="8" fillId="2" borderId="1" xfId="3" applyNumberFormat="1" applyFont="1" applyFill="1" applyBorder="1" applyAlignment="1">
      <alignment vertical="center" wrapText="1"/>
    </xf>
    <xf numFmtId="165" fontId="74" fillId="2" borderId="1" xfId="3" applyNumberFormat="1" applyFont="1" applyFill="1" applyBorder="1" applyAlignment="1">
      <alignment horizontal="center" vertical="center" wrapText="1"/>
    </xf>
    <xf numFmtId="0" fontId="75" fillId="2" borderId="1" xfId="3" applyFont="1" applyFill="1" applyBorder="1" applyAlignment="1">
      <alignment horizontal="left" vertical="center" wrapText="1"/>
    </xf>
    <xf numFmtId="0" fontId="1" fillId="2" borderId="1" xfId="3" applyFill="1" applyBorder="1" applyAlignment="1">
      <alignment wrapText="1"/>
    </xf>
    <xf numFmtId="0" fontId="8" fillId="2" borderId="1" xfId="3" applyFont="1" applyFill="1" applyBorder="1" applyAlignment="1">
      <alignment horizontal="center" vertical="center" wrapText="1"/>
    </xf>
    <xf numFmtId="0" fontId="12" fillId="2" borderId="1" xfId="3" applyFont="1" applyFill="1" applyBorder="1" applyAlignment="1">
      <alignment horizontal="right" vertical="center" wrapText="1"/>
    </xf>
    <xf numFmtId="0" fontId="60" fillId="0" borderId="0" xfId="0" applyFont="1" applyAlignment="1">
      <alignment horizontal="right"/>
    </xf>
    <xf numFmtId="0" fontId="60" fillId="2" borderId="0" xfId="0" applyFont="1" applyFill="1" applyAlignment="1">
      <alignment horizontal="right"/>
    </xf>
    <xf numFmtId="0" fontId="60" fillId="0" borderId="0" xfId="0" applyFont="1"/>
    <xf numFmtId="0" fontId="60" fillId="2" borderId="0" xfId="0" applyFont="1" applyFill="1"/>
    <xf numFmtId="0" fontId="59" fillId="0" borderId="0" xfId="0" applyFont="1"/>
    <xf numFmtId="0" fontId="79" fillId="0" borderId="0" xfId="0" applyFont="1"/>
    <xf numFmtId="167" fontId="79" fillId="2" borderId="0" xfId="0" applyNumberFormat="1" applyFont="1" applyFill="1"/>
    <xf numFmtId="0" fontId="79" fillId="2" borderId="0" xfId="0" applyFont="1" applyFill="1"/>
    <xf numFmtId="2" fontId="58" fillId="0" borderId="0" xfId="0" applyNumberFormat="1" applyFont="1"/>
    <xf numFmtId="0" fontId="58" fillId="2" borderId="0" xfId="0" applyFont="1" applyFill="1"/>
    <xf numFmtId="0" fontId="80" fillId="2" borderId="0" xfId="0" applyFont="1" applyFill="1" applyAlignment="1">
      <alignment horizontal="center" vertical="center"/>
    </xf>
    <xf numFmtId="0" fontId="82" fillId="2" borderId="0" xfId="0" applyFont="1" applyFill="1" applyAlignment="1">
      <alignment horizontal="center"/>
    </xf>
    <xf numFmtId="0" fontId="80" fillId="0" borderId="0" xfId="0" applyFont="1"/>
    <xf numFmtId="0" fontId="80" fillId="2" borderId="0" xfId="0" applyFont="1" applyFill="1"/>
    <xf numFmtId="2" fontId="80" fillId="2" borderId="1" xfId="0" applyNumberFormat="1" applyFont="1" applyFill="1" applyBorder="1" applyAlignment="1">
      <alignment horizontal="right" vertical="center"/>
    </xf>
    <xf numFmtId="2" fontId="80" fillId="2" borderId="0" xfId="0" applyNumberFormat="1" applyFont="1" applyFill="1" applyAlignment="1">
      <alignment horizontal="right" vertical="center"/>
    </xf>
    <xf numFmtId="2" fontId="83" fillId="2" borderId="0" xfId="0" applyNumberFormat="1" applyFont="1" applyFill="1" applyAlignment="1">
      <alignment horizontal="right" vertical="center"/>
    </xf>
    <xf numFmtId="0" fontId="80" fillId="0" borderId="0" xfId="0" quotePrefix="1" applyFont="1"/>
    <xf numFmtId="2" fontId="80" fillId="0" borderId="0" xfId="0" applyNumberFormat="1" applyFont="1" applyAlignment="1">
      <alignment horizontal="left"/>
    </xf>
    <xf numFmtId="0" fontId="80" fillId="0" borderId="0" xfId="0" applyFont="1" applyAlignment="1">
      <alignment horizontal="left"/>
    </xf>
    <xf numFmtId="1" fontId="80" fillId="0" borderId="1" xfId="0" applyNumberFormat="1" applyFont="1" applyBorder="1" applyAlignment="1">
      <alignment horizontal="right" vertical="center"/>
    </xf>
    <xf numFmtId="2" fontId="80" fillId="0" borderId="1" xfId="0" applyNumberFormat="1" applyFont="1" applyBorder="1" applyAlignment="1">
      <alignment horizontal="right" vertical="center"/>
    </xf>
    <xf numFmtId="2" fontId="80" fillId="0" borderId="0" xfId="0" applyNumberFormat="1" applyFont="1"/>
    <xf numFmtId="0" fontId="58" fillId="2" borderId="8" xfId="0" applyFont="1" applyFill="1" applyBorder="1" applyAlignment="1">
      <alignment horizontal="center" vertical="center"/>
    </xf>
    <xf numFmtId="0" fontId="58" fillId="0" borderId="5" xfId="0" applyFont="1" applyBorder="1" applyAlignment="1">
      <alignment horizontal="center" vertical="center"/>
    </xf>
    <xf numFmtId="0" fontId="58" fillId="0" borderId="5" xfId="0" applyFont="1" applyBorder="1" applyAlignment="1">
      <alignment horizontal="center" vertical="center" wrapText="1"/>
    </xf>
    <xf numFmtId="0" fontId="58" fillId="0" borderId="5" xfId="0" applyFont="1" applyBorder="1" applyAlignment="1">
      <alignment horizontal="center" wrapText="1"/>
    </xf>
    <xf numFmtId="0" fontId="58" fillId="2" borderId="9"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11" xfId="0" applyFont="1" applyFill="1" applyBorder="1" applyAlignment="1">
      <alignment horizontal="center" vertical="center" wrapText="1"/>
    </xf>
    <xf numFmtId="0" fontId="58" fillId="2" borderId="11" xfId="0" applyFont="1" applyFill="1" applyBorder="1" applyAlignment="1">
      <alignment horizontal="center" vertical="center"/>
    </xf>
    <xf numFmtId="167" fontId="58" fillId="2" borderId="11" xfId="0" applyNumberFormat="1" applyFont="1" applyFill="1" applyBorder="1" applyAlignment="1">
      <alignment horizontal="center" vertical="center"/>
    </xf>
    <xf numFmtId="0" fontId="61" fillId="2" borderId="11" xfId="0" applyFont="1" applyFill="1" applyBorder="1" applyAlignment="1">
      <alignment horizontal="center" vertical="center" wrapText="1"/>
    </xf>
    <xf numFmtId="2" fontId="58" fillId="2" borderId="11" xfId="0" applyNumberFormat="1" applyFont="1" applyFill="1" applyBorder="1" applyAlignment="1">
      <alignment horizontal="center" vertical="center"/>
    </xf>
    <xf numFmtId="0" fontId="58" fillId="2" borderId="24" xfId="0" applyFont="1" applyFill="1" applyBorder="1" applyAlignment="1">
      <alignment horizontal="center" vertical="center" wrapText="1"/>
    </xf>
    <xf numFmtId="0" fontId="58" fillId="2" borderId="24" xfId="0" applyFont="1" applyFill="1" applyBorder="1" applyAlignment="1">
      <alignment horizontal="center" vertical="center"/>
    </xf>
    <xf numFmtId="0" fontId="58" fillId="0" borderId="25" xfId="0" applyFont="1" applyBorder="1" applyAlignment="1">
      <alignment horizontal="center" vertical="center"/>
    </xf>
    <xf numFmtId="0" fontId="61" fillId="2" borderId="11" xfId="0" applyFont="1" applyFill="1" applyBorder="1" applyAlignment="1">
      <alignment horizontal="left" vertical="center" wrapText="1"/>
    </xf>
    <xf numFmtId="0" fontId="61" fillId="2" borderId="11" xfId="3" applyFont="1" applyFill="1" applyBorder="1" applyAlignment="1">
      <alignment horizontal="left" wrapText="1"/>
    </xf>
    <xf numFmtId="0" fontId="61" fillId="2" borderId="11" xfId="3" applyFont="1" applyFill="1" applyBorder="1" applyAlignment="1">
      <alignment vertical="center" wrapText="1"/>
    </xf>
    <xf numFmtId="0" fontId="61" fillId="2" borderId="11" xfId="3" applyFont="1" applyFill="1" applyBorder="1" applyAlignment="1">
      <alignment horizontal="left" vertical="center" wrapText="1"/>
    </xf>
    <xf numFmtId="0" fontId="58" fillId="0" borderId="15" xfId="0" applyFont="1" applyBorder="1" applyAlignment="1">
      <alignment horizontal="center" vertical="center"/>
    </xf>
    <xf numFmtId="0" fontId="58" fillId="2" borderId="15" xfId="0" applyFont="1" applyFill="1" applyBorder="1" applyAlignment="1">
      <alignment horizontal="center" vertical="center"/>
    </xf>
    <xf numFmtId="0" fontId="58" fillId="2" borderId="11" xfId="0" applyFont="1" applyFill="1" applyBorder="1" applyAlignment="1">
      <alignment horizontal="left" vertical="center" wrapText="1"/>
    </xf>
    <xf numFmtId="0" fontId="59" fillId="2" borderId="9" xfId="0" applyFont="1" applyFill="1" applyBorder="1" applyAlignment="1">
      <alignment horizontal="left" vertical="center" wrapText="1"/>
    </xf>
    <xf numFmtId="2" fontId="58" fillId="2" borderId="9" xfId="0" applyNumberFormat="1" applyFont="1" applyFill="1" applyBorder="1" applyAlignment="1">
      <alignment horizontal="center" vertical="center"/>
    </xf>
    <xf numFmtId="0" fontId="58" fillId="2" borderId="26" xfId="1" applyFont="1" applyFill="1" applyBorder="1" applyAlignment="1">
      <alignment vertical="top" wrapText="1"/>
    </xf>
    <xf numFmtId="0" fontId="58" fillId="2" borderId="10" xfId="1" applyFont="1" applyFill="1" applyBorder="1" applyAlignment="1">
      <alignment vertical="top" wrapText="1"/>
    </xf>
    <xf numFmtId="0" fontId="58" fillId="2" borderId="23" xfId="0" applyFont="1" applyFill="1" applyBorder="1" applyAlignment="1">
      <alignment horizontal="center" vertical="center"/>
    </xf>
    <xf numFmtId="0" fontId="58" fillId="2" borderId="28" xfId="1" applyFont="1" applyFill="1" applyBorder="1" applyAlignment="1">
      <alignment vertical="top" wrapText="1"/>
    </xf>
    <xf numFmtId="0" fontId="58" fillId="2" borderId="11" xfId="1" applyFont="1" applyFill="1" applyBorder="1" applyAlignment="1">
      <alignment vertical="top" wrapText="1"/>
    </xf>
    <xf numFmtId="0" fontId="26" fillId="2" borderId="0" xfId="0" applyFont="1" applyFill="1"/>
    <xf numFmtId="0" fontId="40" fillId="2" borderId="0" xfId="0" applyFont="1" applyFill="1"/>
    <xf numFmtId="0" fontId="58" fillId="2" borderId="28" xfId="0" applyFont="1" applyFill="1" applyBorder="1"/>
    <xf numFmtId="0" fontId="58" fillId="2" borderId="11" xfId="0" applyFont="1" applyFill="1" applyBorder="1"/>
    <xf numFmtId="0" fontId="80" fillId="0" borderId="0" xfId="0" applyFont="1" applyAlignment="1">
      <alignment horizontal="center"/>
    </xf>
    <xf numFmtId="2" fontId="80" fillId="0" borderId="0" xfId="0" applyNumberFormat="1" applyFont="1" applyAlignment="1">
      <alignment horizontal="center"/>
    </xf>
    <xf numFmtId="0" fontId="60" fillId="0" borderId="0" xfId="0" applyFont="1" applyAlignment="1">
      <alignment horizontal="center"/>
    </xf>
    <xf numFmtId="0" fontId="79" fillId="0" borderId="0" xfId="0" applyFont="1" applyAlignment="1">
      <alignment horizontal="center"/>
    </xf>
    <xf numFmtId="0" fontId="58" fillId="0" borderId="0" xfId="0" applyFont="1" applyAlignment="1">
      <alignment horizontal="center"/>
    </xf>
    <xf numFmtId="0" fontId="0" fillId="0" borderId="0" xfId="0" applyAlignment="1">
      <alignment horizontal="center"/>
    </xf>
    <xf numFmtId="0" fontId="58" fillId="7" borderId="23" xfId="0" applyFont="1" applyFill="1" applyBorder="1" applyAlignment="1">
      <alignment horizontal="center" vertical="center"/>
    </xf>
    <xf numFmtId="0" fontId="58" fillId="7" borderId="24" xfId="0" applyFont="1" applyFill="1" applyBorder="1" applyAlignment="1">
      <alignment horizontal="center" vertical="center" wrapText="1"/>
    </xf>
    <xf numFmtId="1" fontId="58" fillId="2" borderId="15" xfId="0" applyNumberFormat="1" applyFont="1" applyFill="1" applyBorder="1" applyAlignment="1">
      <alignment horizontal="center" vertical="center"/>
    </xf>
    <xf numFmtId="2" fontId="82" fillId="2" borderId="0" xfId="0" applyNumberFormat="1" applyFont="1" applyFill="1" applyAlignment="1">
      <alignment horizontal="center"/>
    </xf>
    <xf numFmtId="2" fontId="80" fillId="2" borderId="0" xfId="0" applyNumberFormat="1" applyFont="1" applyFill="1" applyAlignment="1">
      <alignment horizontal="center"/>
    </xf>
    <xf numFmtId="2" fontId="58" fillId="2" borderId="8" xfId="0" applyNumberFormat="1" applyFont="1" applyFill="1" applyBorder="1" applyAlignment="1">
      <alignment horizontal="center" vertical="center"/>
    </xf>
    <xf numFmtId="2" fontId="60" fillId="2" borderId="0" xfId="0" applyNumberFormat="1" applyFont="1" applyFill="1" applyAlignment="1">
      <alignment horizontal="center"/>
    </xf>
    <xf numFmtId="2" fontId="79" fillId="2" borderId="0" xfId="0" applyNumberFormat="1" applyFont="1" applyFill="1" applyAlignment="1">
      <alignment horizontal="center"/>
    </xf>
    <xf numFmtId="2" fontId="58" fillId="0" borderId="0" xfId="0" applyNumberFormat="1" applyFont="1" applyAlignment="1">
      <alignment horizontal="center"/>
    </xf>
    <xf numFmtId="2" fontId="0" fillId="0" borderId="0" xfId="0" applyNumberFormat="1" applyAlignment="1">
      <alignment horizontal="center"/>
    </xf>
    <xf numFmtId="2" fontId="84" fillId="2" borderId="29" xfId="1" applyNumberFormat="1" applyFont="1" applyFill="1" applyBorder="1" applyAlignment="1">
      <alignment horizontal="center" vertical="top"/>
    </xf>
    <xf numFmtId="2" fontId="61" fillId="2" borderId="27" xfId="0" applyNumberFormat="1" applyFont="1" applyFill="1" applyBorder="1" applyAlignment="1">
      <alignment horizontal="center" vertical="center"/>
    </xf>
    <xf numFmtId="2" fontId="61" fillId="2" borderId="29" xfId="0" applyNumberFormat="1" applyFont="1" applyFill="1" applyBorder="1" applyAlignment="1">
      <alignment horizontal="center" vertical="center"/>
    </xf>
    <xf numFmtId="2" fontId="61" fillId="2" borderId="29" xfId="1" applyNumberFormat="1" applyFont="1" applyFill="1" applyBorder="1" applyAlignment="1">
      <alignment horizontal="center" vertical="top"/>
    </xf>
    <xf numFmtId="2" fontId="58" fillId="2" borderId="10" xfId="0" applyNumberFormat="1" applyFont="1" applyFill="1" applyBorder="1" applyAlignment="1">
      <alignment horizontal="center" vertical="center"/>
    </xf>
    <xf numFmtId="0" fontId="80" fillId="0" borderId="0" xfId="0" applyFont="1" applyAlignment="1">
      <alignment horizontal="right"/>
    </xf>
    <xf numFmtId="0" fontId="58" fillId="2" borderId="12" xfId="0" applyFont="1" applyFill="1" applyBorder="1" applyAlignment="1">
      <alignment horizontal="center" vertical="center"/>
    </xf>
    <xf numFmtId="0" fontId="58" fillId="2" borderId="12" xfId="0" applyFont="1" applyFill="1" applyBorder="1" applyAlignment="1">
      <alignment horizontal="left" vertical="center" wrapText="1"/>
    </xf>
    <xf numFmtId="2" fontId="58" fillId="2" borderId="12" xfId="0" applyNumberFormat="1" applyFont="1" applyFill="1" applyBorder="1" applyAlignment="1">
      <alignment horizontal="center" vertical="center"/>
    </xf>
    <xf numFmtId="0" fontId="58" fillId="2" borderId="9" xfId="1" applyFont="1" applyFill="1" applyBorder="1" applyAlignment="1">
      <alignment vertical="top" wrapText="1"/>
    </xf>
    <xf numFmtId="2" fontId="58" fillId="2" borderId="1" xfId="0" applyNumberFormat="1"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center" wrapText="1"/>
    </xf>
    <xf numFmtId="2" fontId="58" fillId="2" borderId="10" xfId="0" applyNumberFormat="1" applyFont="1" applyFill="1" applyBorder="1" applyAlignment="1">
      <alignment horizontal="center"/>
    </xf>
    <xf numFmtId="2" fontId="58" fillId="2" borderId="11" xfId="0" applyNumberFormat="1" applyFont="1" applyFill="1" applyBorder="1" applyAlignment="1">
      <alignment horizontal="center"/>
    </xf>
    <xf numFmtId="0" fontId="58" fillId="7" borderId="11" xfId="0" applyFont="1" applyFill="1" applyBorder="1" applyAlignment="1">
      <alignment horizontal="center" vertical="center"/>
    </xf>
    <xf numFmtId="0" fontId="58" fillId="7" borderId="11" xfId="0" applyFont="1" applyFill="1" applyBorder="1" applyAlignment="1">
      <alignment horizontal="center" vertical="center" wrapText="1"/>
    </xf>
    <xf numFmtId="0" fontId="58" fillId="7" borderId="9" xfId="0" applyFont="1" applyFill="1" applyBorder="1" applyAlignment="1">
      <alignment horizontal="center" vertical="center"/>
    </xf>
    <xf numFmtId="2" fontId="58" fillId="2" borderId="9" xfId="0" applyNumberFormat="1" applyFont="1" applyFill="1" applyBorder="1" applyAlignment="1">
      <alignment horizontal="center"/>
    </xf>
    <xf numFmtId="0" fontId="80" fillId="2" borderId="0" xfId="0" applyFont="1" applyFill="1" applyAlignment="1">
      <alignment horizontal="right"/>
    </xf>
    <xf numFmtId="2" fontId="80" fillId="2" borderId="0" xfId="0" applyNumberFormat="1" applyFont="1" applyFill="1"/>
    <xf numFmtId="0" fontId="58" fillId="2" borderId="11" xfId="1" applyFont="1" applyFill="1" applyBorder="1" applyAlignment="1">
      <alignment vertical="center" wrapText="1"/>
    </xf>
    <xf numFmtId="0" fontId="58" fillId="2" borderId="5" xfId="0" applyFont="1" applyFill="1" applyBorder="1" applyAlignment="1">
      <alignment horizontal="center" vertical="center"/>
    </xf>
    <xf numFmtId="0" fontId="58" fillId="0" borderId="1" xfId="0" applyFont="1" applyBorder="1" applyAlignment="1">
      <alignment horizontal="center" vertical="center" wrapText="1"/>
    </xf>
    <xf numFmtId="0" fontId="58" fillId="2" borderId="1" xfId="0" applyFont="1" applyFill="1" applyBorder="1" applyAlignment="1">
      <alignment horizontal="center" vertical="center"/>
    </xf>
    <xf numFmtId="0" fontId="25" fillId="2" borderId="0" xfId="0" applyFont="1" applyFill="1"/>
    <xf numFmtId="2" fontId="58" fillId="2" borderId="11" xfId="1" applyNumberFormat="1" applyFont="1" applyFill="1" applyBorder="1" applyAlignment="1">
      <alignment horizontal="center" vertical="top"/>
    </xf>
    <xf numFmtId="0" fontId="58" fillId="8" borderId="11" xfId="0" applyFont="1" applyFill="1" applyBorder="1" applyAlignment="1">
      <alignment horizontal="center" vertical="center"/>
    </xf>
    <xf numFmtId="0" fontId="58" fillId="2" borderId="11" xfId="3" applyFont="1" applyFill="1" applyBorder="1" applyAlignment="1">
      <alignment horizontal="left" wrapText="1"/>
    </xf>
    <xf numFmtId="0" fontId="58" fillId="2" borderId="11" xfId="3" applyFont="1" applyFill="1" applyBorder="1" applyAlignment="1">
      <alignment vertical="center" wrapText="1"/>
    </xf>
    <xf numFmtId="0" fontId="58" fillId="2" borderId="11" xfId="3" applyFont="1" applyFill="1" applyBorder="1" applyAlignment="1">
      <alignment horizontal="left" vertical="center" wrapText="1"/>
    </xf>
    <xf numFmtId="2" fontId="58" fillId="2" borderId="11" xfId="1" applyNumberFormat="1" applyFont="1" applyFill="1" applyBorder="1" applyAlignment="1">
      <alignment horizontal="center" vertical="center"/>
    </xf>
    <xf numFmtId="2" fontId="58" fillId="2" borderId="9" xfId="1" applyNumberFormat="1" applyFont="1" applyFill="1" applyBorder="1" applyAlignment="1">
      <alignment horizontal="center" vertical="top"/>
    </xf>
    <xf numFmtId="0" fontId="58" fillId="2" borderId="9" xfId="0" applyFont="1" applyFill="1" applyBorder="1" applyAlignment="1">
      <alignment horizontal="center" vertical="center" wrapText="1"/>
    </xf>
    <xf numFmtId="2" fontId="58" fillId="2" borderId="15" xfId="0" applyNumberFormat="1" applyFont="1" applyFill="1" applyBorder="1" applyAlignment="1">
      <alignment horizontal="center" vertical="center"/>
    </xf>
    <xf numFmtId="0" fontId="58" fillId="2" borderId="11" xfId="0" applyFont="1" applyFill="1" applyBorder="1" applyAlignment="1">
      <alignment vertical="top" wrapText="1"/>
    </xf>
    <xf numFmtId="0" fontId="58" fillId="2" borderId="9" xfId="0" applyFont="1" applyFill="1" applyBorder="1" applyAlignment="1">
      <alignment vertical="top" wrapText="1"/>
    </xf>
    <xf numFmtId="2" fontId="58" fillId="2" borderId="9" xfId="1" applyNumberFormat="1" applyFont="1" applyFill="1" applyBorder="1" applyAlignment="1">
      <alignment horizontal="center" vertical="center"/>
    </xf>
    <xf numFmtId="0" fontId="58" fillId="2" borderId="11" xfId="0" applyFont="1" applyFill="1" applyBorder="1" applyAlignment="1">
      <alignment wrapText="1"/>
    </xf>
    <xf numFmtId="0" fontId="58" fillId="2" borderId="11" xfId="3" applyFont="1" applyFill="1" applyBorder="1" applyAlignment="1">
      <alignment horizontal="left" vertical="top" wrapText="1"/>
    </xf>
    <xf numFmtId="0" fontId="58" fillId="2" borderId="11" xfId="3" applyFont="1" applyFill="1" applyBorder="1" applyAlignment="1">
      <alignment vertical="top" wrapText="1"/>
    </xf>
    <xf numFmtId="0" fontId="25" fillId="2" borderId="11" xfId="0" applyFont="1" applyFill="1" applyBorder="1" applyAlignment="1">
      <alignment horizontal="center" vertical="center"/>
    </xf>
    <xf numFmtId="0" fontId="25" fillId="2" borderId="10" xfId="0" applyFont="1" applyFill="1" applyBorder="1" applyAlignment="1">
      <alignment horizontal="center" vertical="center"/>
    </xf>
    <xf numFmtId="2" fontId="25" fillId="2" borderId="10" xfId="0" applyNumberFormat="1" applyFont="1" applyFill="1" applyBorder="1" applyAlignment="1">
      <alignment horizontal="center" vertical="center"/>
    </xf>
    <xf numFmtId="2" fontId="25" fillId="2" borderId="12" xfId="0" applyNumberFormat="1" applyFont="1" applyFill="1" applyBorder="1" applyAlignment="1">
      <alignment horizontal="center" vertical="center"/>
    </xf>
    <xf numFmtId="2" fontId="25" fillId="2" borderId="11" xfId="0" applyNumberFormat="1" applyFont="1" applyFill="1" applyBorder="1" applyAlignment="1">
      <alignment horizontal="center" vertical="center"/>
    </xf>
    <xf numFmtId="2" fontId="25" fillId="2" borderId="11" xfId="1" applyNumberForma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2" fontId="25" fillId="2" borderId="9" xfId="0" applyNumberFormat="1" applyFont="1" applyFill="1" applyBorder="1" applyAlignment="1">
      <alignment horizontal="center" vertical="center"/>
    </xf>
    <xf numFmtId="2" fontId="25" fillId="2" borderId="9" xfId="1" applyNumberFormat="1" applyFill="1" applyBorder="1" applyAlignment="1">
      <alignment horizontal="center" vertical="center"/>
    </xf>
    <xf numFmtId="2" fontId="25" fillId="2" borderId="15" xfId="0" applyNumberFormat="1" applyFont="1" applyFill="1" applyBorder="1" applyAlignment="1">
      <alignment horizontal="center" vertical="center"/>
    </xf>
    <xf numFmtId="0" fontId="25" fillId="2" borderId="9" xfId="0" applyFont="1" applyFill="1" applyBorder="1" applyAlignment="1">
      <alignment horizontal="center" vertical="center" wrapText="1"/>
    </xf>
    <xf numFmtId="0" fontId="84" fillId="2" borderId="11" xfId="1" applyFont="1" applyFill="1" applyBorder="1" applyAlignment="1">
      <alignment vertical="center" wrapText="1"/>
    </xf>
    <xf numFmtId="0" fontId="84" fillId="2" borderId="11" xfId="1" applyFont="1" applyFill="1" applyBorder="1" applyAlignment="1">
      <alignment vertical="top" wrapText="1"/>
    </xf>
    <xf numFmtId="0" fontId="59" fillId="2" borderId="15" xfId="0" applyFont="1" applyFill="1" applyBorder="1" applyAlignment="1">
      <alignment horizontal="left" vertical="center" wrapText="1"/>
    </xf>
    <xf numFmtId="0" fontId="25" fillId="2" borderId="15" xfId="0" applyFont="1" applyFill="1" applyBorder="1" applyAlignment="1">
      <alignment horizontal="center" vertical="center"/>
    </xf>
    <xf numFmtId="2" fontId="14" fillId="2" borderId="15" xfId="0" applyNumberFormat="1" applyFont="1" applyFill="1" applyBorder="1" applyAlignment="1">
      <alignment horizontal="center" vertical="center"/>
    </xf>
    <xf numFmtId="0" fontId="14" fillId="2" borderId="15" xfId="0" applyFont="1" applyFill="1" applyBorder="1" applyAlignment="1">
      <alignment horizontal="center" vertical="center"/>
    </xf>
    <xf numFmtId="2" fontId="14" fillId="2" borderId="8" xfId="0" applyNumberFormat="1" applyFont="1" applyFill="1" applyBorder="1" applyAlignment="1">
      <alignment horizontal="center" vertical="center"/>
    </xf>
    <xf numFmtId="0" fontId="58" fillId="0" borderId="13" xfId="0" applyFont="1" applyBorder="1"/>
    <xf numFmtId="0" fontId="58" fillId="0" borderId="14" xfId="0" applyFont="1" applyBorder="1"/>
    <xf numFmtId="0" fontId="60" fillId="0" borderId="14" xfId="0" applyFont="1" applyBorder="1" applyAlignment="1">
      <alignment horizontal="center"/>
    </xf>
    <xf numFmtId="0" fontId="60" fillId="0" borderId="14" xfId="0" applyFont="1" applyBorder="1" applyAlignment="1">
      <alignment horizontal="right"/>
    </xf>
    <xf numFmtId="0" fontId="60" fillId="2" borderId="14" xfId="0" applyFont="1" applyFill="1" applyBorder="1" applyAlignment="1">
      <alignment horizontal="right"/>
    </xf>
    <xf numFmtId="2" fontId="79" fillId="2" borderId="14" xfId="0" applyNumberFormat="1" applyFont="1" applyFill="1" applyBorder="1" applyAlignment="1">
      <alignment horizontal="center"/>
    </xf>
    <xf numFmtId="0" fontId="60" fillId="0" borderId="14" xfId="0" applyFont="1" applyBorder="1"/>
    <xf numFmtId="0" fontId="60" fillId="0" borderId="16" xfId="0" applyFont="1" applyBorder="1"/>
    <xf numFmtId="0" fontId="58" fillId="0" borderId="30" xfId="0" applyFont="1" applyBorder="1"/>
    <xf numFmtId="0" fontId="60" fillId="0" borderId="31" xfId="0" applyFont="1" applyBorder="1"/>
    <xf numFmtId="2" fontId="58" fillId="0" borderId="31" xfId="0" applyNumberFormat="1" applyFont="1" applyBorder="1"/>
    <xf numFmtId="0" fontId="58" fillId="0" borderId="17" xfId="0" applyFont="1" applyBorder="1"/>
    <xf numFmtId="0" fontId="59" fillId="0" borderId="2" xfId="0" applyFont="1" applyBorder="1"/>
    <xf numFmtId="0" fontId="60" fillId="0" borderId="2" xfId="0" applyFont="1" applyBorder="1" applyAlignment="1">
      <alignment horizontal="center"/>
    </xf>
    <xf numFmtId="0" fontId="60" fillId="0" borderId="2" xfId="0" applyFont="1" applyBorder="1"/>
    <xf numFmtId="0" fontId="60" fillId="2" borderId="2" xfId="0" applyFont="1" applyFill="1" applyBorder="1"/>
    <xf numFmtId="2" fontId="60" fillId="2" borderId="2" xfId="0" applyNumberFormat="1" applyFont="1" applyFill="1" applyBorder="1" applyAlignment="1">
      <alignment horizontal="center"/>
    </xf>
    <xf numFmtId="0" fontId="79" fillId="2" borderId="2" xfId="0" applyFont="1" applyFill="1" applyBorder="1"/>
    <xf numFmtId="0" fontId="60" fillId="0" borderId="32" xfId="0" applyFont="1" applyBorder="1"/>
    <xf numFmtId="0" fontId="58" fillId="2" borderId="10" xfId="0" applyFont="1" applyFill="1" applyBorder="1" applyAlignment="1">
      <alignment vertical="top" wrapText="1"/>
    </xf>
    <xf numFmtId="0" fontId="59" fillId="2" borderId="12" xfId="0" applyFont="1" applyFill="1" applyBorder="1" applyAlignment="1">
      <alignment horizontal="center" vertical="center"/>
    </xf>
    <xf numFmtId="0" fontId="59" fillId="2" borderId="12" xfId="0" applyFont="1" applyFill="1" applyBorder="1" applyAlignment="1">
      <alignment horizontal="left" vertical="center" wrapText="1"/>
    </xf>
    <xf numFmtId="2" fontId="59" fillId="2" borderId="12" xfId="0" applyNumberFormat="1" applyFont="1" applyFill="1" applyBorder="1" applyAlignment="1">
      <alignment horizontal="center" vertical="center"/>
    </xf>
    <xf numFmtId="0" fontId="14" fillId="2" borderId="12" xfId="0" applyFont="1" applyFill="1" applyBorder="1" applyAlignment="1">
      <alignment horizontal="center" vertical="center"/>
    </xf>
    <xf numFmtId="2" fontId="14" fillId="2" borderId="12" xfId="0" applyNumberFormat="1" applyFont="1" applyFill="1" applyBorder="1" applyAlignment="1">
      <alignment horizontal="center" vertical="center"/>
    </xf>
    <xf numFmtId="0" fontId="59" fillId="0" borderId="35" xfId="0" applyFont="1" applyBorder="1"/>
    <xf numFmtId="0" fontId="54" fillId="0" borderId="36" xfId="0" applyFont="1" applyBorder="1" applyAlignment="1">
      <alignment horizontal="center" vertical="center" wrapText="1"/>
    </xf>
    <xf numFmtId="0" fontId="54" fillId="0" borderId="8" xfId="0" applyFont="1" applyBorder="1" applyAlignment="1">
      <alignment horizontal="center" vertical="center" wrapText="1"/>
    </xf>
    <xf numFmtId="0" fontId="81" fillId="0" borderId="11" xfId="0" applyFont="1" applyBorder="1" applyAlignment="1">
      <alignment horizontal="center"/>
    </xf>
    <xf numFmtId="0" fontId="88" fillId="0" borderId="9" xfId="0" applyFont="1" applyBorder="1" applyAlignment="1">
      <alignment horizontal="center"/>
    </xf>
    <xf numFmtId="0" fontId="89" fillId="2" borderId="11" xfId="0" applyFont="1" applyFill="1" applyBorder="1" applyAlignment="1">
      <alignment horizontal="center" vertical="center"/>
    </xf>
    <xf numFmtId="2" fontId="90" fillId="2" borderId="11" xfId="1" applyNumberFormat="1" applyFont="1" applyFill="1" applyBorder="1" applyAlignment="1">
      <alignment horizontal="center" vertical="center"/>
    </xf>
    <xf numFmtId="0" fontId="84" fillId="2" borderId="0" xfId="0" applyFont="1" applyFill="1"/>
    <xf numFmtId="0" fontId="91" fillId="2" borderId="0" xfId="0" applyFont="1" applyFill="1"/>
    <xf numFmtId="0" fontId="92" fillId="2" borderId="0" xfId="0" applyFont="1" applyFill="1"/>
    <xf numFmtId="0" fontId="93" fillId="2" borderId="0" xfId="0" applyFont="1" applyFill="1"/>
    <xf numFmtId="0" fontId="59" fillId="0" borderId="11" xfId="0" applyFont="1" applyBorder="1"/>
    <xf numFmtId="0" fontId="59" fillId="0" borderId="11" xfId="0" applyFont="1" applyBorder="1" applyAlignment="1">
      <alignment horizontal="left"/>
    </xf>
    <xf numFmtId="0" fontId="59" fillId="0" borderId="28" xfId="0" applyFont="1" applyBorder="1" applyAlignment="1">
      <alignment wrapText="1"/>
    </xf>
    <xf numFmtId="0" fontId="58" fillId="2" borderId="12" xfId="0" applyFont="1" applyFill="1" applyBorder="1" applyAlignment="1">
      <alignment vertical="top" wrapText="1"/>
    </xf>
    <xf numFmtId="0" fontId="67" fillId="0" borderId="11" xfId="0" applyFont="1" applyBorder="1" applyAlignment="1">
      <alignment horizontal="right" wrapText="1"/>
    </xf>
    <xf numFmtId="0" fontId="26" fillId="2" borderId="11" xfId="0" applyFont="1" applyFill="1" applyBorder="1" applyAlignment="1">
      <alignment horizontal="center"/>
    </xf>
    <xf numFmtId="0" fontId="59" fillId="0" borderId="33" xfId="0" applyFont="1" applyBorder="1" applyAlignment="1">
      <alignment horizontal="right"/>
    </xf>
    <xf numFmtId="0" fontId="60" fillId="2" borderId="11" xfId="0" applyFont="1" applyFill="1" applyBorder="1" applyAlignment="1">
      <alignment horizontal="center" vertical="center"/>
    </xf>
    <xf numFmtId="0" fontId="60" fillId="2" borderId="11" xfId="0" applyFont="1" applyFill="1" applyBorder="1"/>
    <xf numFmtId="165" fontId="58" fillId="2" borderId="11" xfId="1" applyNumberFormat="1" applyFont="1" applyFill="1" applyBorder="1" applyAlignment="1">
      <alignment vertical="top" wrapText="1"/>
    </xf>
    <xf numFmtId="0" fontId="54" fillId="0" borderId="11" xfId="0" applyFont="1" applyBorder="1" applyAlignment="1">
      <alignment horizontal="center" vertical="center" wrapText="1"/>
    </xf>
    <xf numFmtId="0" fontId="26" fillId="2" borderId="11" xfId="0" applyFont="1" applyFill="1" applyBorder="1" applyAlignment="1">
      <alignment horizontal="center" vertical="center"/>
    </xf>
    <xf numFmtId="165" fontId="59" fillId="0" borderId="11" xfId="0" applyNumberFormat="1" applyFont="1" applyBorder="1"/>
    <xf numFmtId="0" fontId="8" fillId="0" borderId="1" xfId="0" applyFont="1" applyBorder="1"/>
    <xf numFmtId="0" fontId="54" fillId="0" borderId="11" xfId="0" applyFont="1" applyBorder="1" applyAlignment="1">
      <alignment horizontal="center" vertical="center"/>
    </xf>
    <xf numFmtId="0" fontId="79" fillId="2" borderId="14" xfId="0" applyFont="1" applyFill="1" applyBorder="1" applyAlignment="1">
      <alignment horizontal="right"/>
    </xf>
    <xf numFmtId="0" fontId="58" fillId="2" borderId="7" xfId="0" applyFont="1" applyFill="1" applyBorder="1" applyAlignment="1">
      <alignment horizontal="center" vertical="center"/>
    </xf>
    <xf numFmtId="0" fontId="94" fillId="2" borderId="1" xfId="0" applyFont="1" applyFill="1" applyBorder="1" applyAlignment="1">
      <alignment horizontal="left" vertical="center" wrapText="1"/>
    </xf>
    <xf numFmtId="0" fontId="94" fillId="2" borderId="1" xfId="0" applyFont="1" applyFill="1" applyBorder="1" applyAlignment="1" applyProtection="1">
      <alignment vertical="center" wrapText="1"/>
      <protection locked="0"/>
    </xf>
    <xf numFmtId="0" fontId="94" fillId="2" borderId="1" xfId="0" applyFont="1" applyFill="1" applyBorder="1" applyAlignment="1">
      <alignment horizontal="justify" vertical="top" wrapText="1"/>
    </xf>
    <xf numFmtId="0" fontId="94" fillId="2" borderId="1" xfId="0" applyFont="1" applyFill="1" applyBorder="1" applyAlignment="1">
      <alignment vertical="center" wrapText="1"/>
    </xf>
    <xf numFmtId="0" fontId="94" fillId="2" borderId="1" xfId="0" applyFont="1" applyFill="1" applyBorder="1" applyAlignment="1">
      <alignment horizontal="justify" vertical="center" wrapText="1"/>
    </xf>
    <xf numFmtId="0" fontId="94" fillId="2" borderId="1" xfId="0" applyFont="1" applyFill="1" applyBorder="1" applyAlignment="1">
      <alignment wrapText="1"/>
    </xf>
    <xf numFmtId="0" fontId="94" fillId="2" borderId="1" xfId="0" applyFont="1" applyFill="1" applyBorder="1"/>
    <xf numFmtId="0" fontId="94" fillId="2" borderId="1" xfId="0" applyFont="1" applyFill="1" applyBorder="1" applyAlignment="1">
      <alignment horizontal="left" vertical="top" wrapText="1"/>
    </xf>
    <xf numFmtId="0" fontId="96" fillId="2" borderId="1" xfId="0" applyFont="1" applyFill="1" applyBorder="1"/>
    <xf numFmtId="0" fontId="80" fillId="0" borderId="36" xfId="0" applyFont="1" applyBorder="1" applyAlignment="1">
      <alignment horizontal="center" vertical="center" wrapText="1"/>
    </xf>
    <xf numFmtId="0" fontId="69" fillId="2" borderId="1" xfId="0" applyFont="1" applyFill="1" applyBorder="1" applyAlignment="1">
      <alignment wrapText="1"/>
    </xf>
    <xf numFmtId="0" fontId="99" fillId="0" borderId="11" xfId="0" applyFont="1" applyBorder="1" applyAlignment="1">
      <alignment horizontal="center" vertical="center"/>
    </xf>
    <xf numFmtId="0" fontId="54" fillId="0" borderId="8" xfId="0" applyFont="1" applyBorder="1" applyAlignment="1">
      <alignment horizontal="center" vertical="center"/>
    </xf>
    <xf numFmtId="0" fontId="26" fillId="2" borderId="0" xfId="0" applyFont="1" applyFill="1" applyAlignment="1">
      <alignment horizontal="center"/>
    </xf>
    <xf numFmtId="0" fontId="40" fillId="2" borderId="0" xfId="0" applyFont="1" applyFill="1" applyAlignment="1">
      <alignment horizontal="center"/>
    </xf>
    <xf numFmtId="0" fontId="58" fillId="2" borderId="11" xfId="0" applyFont="1" applyFill="1" applyBorder="1" applyAlignment="1">
      <alignment horizontal="center"/>
    </xf>
    <xf numFmtId="2" fontId="16" fillId="2" borderId="11" xfId="0" applyNumberFormat="1" applyFont="1" applyFill="1" applyBorder="1" applyAlignment="1">
      <alignment horizontal="center"/>
    </xf>
    <xf numFmtId="0" fontId="58" fillId="2" borderId="11" xfId="0" applyFont="1" applyFill="1" applyBorder="1" applyAlignment="1">
      <alignment horizontal="center" wrapText="1"/>
    </xf>
    <xf numFmtId="2" fontId="100" fillId="2" borderId="11" xfId="0" applyNumberFormat="1" applyFont="1" applyFill="1" applyBorder="1" applyAlignment="1">
      <alignment horizontal="center" vertical="center" wrapText="1"/>
    </xf>
    <xf numFmtId="2" fontId="101" fillId="2" borderId="11" xfId="0" applyNumberFormat="1" applyFont="1" applyFill="1" applyBorder="1" applyAlignment="1">
      <alignment horizontal="center" vertical="center"/>
    </xf>
    <xf numFmtId="0" fontId="101" fillId="2" borderId="11" xfId="0" applyFont="1" applyFill="1" applyBorder="1" applyAlignment="1">
      <alignment horizontal="center" vertical="center"/>
    </xf>
    <xf numFmtId="2" fontId="102" fillId="2" borderId="11" xfId="0" applyNumberFormat="1" applyFont="1" applyFill="1" applyBorder="1" applyAlignment="1">
      <alignment horizontal="center" vertical="center" wrapText="1"/>
    </xf>
    <xf numFmtId="2" fontId="104" fillId="2" borderId="11" xfId="0" applyNumberFormat="1" applyFont="1" applyFill="1" applyBorder="1" applyAlignment="1">
      <alignment horizontal="center" vertical="center" wrapText="1"/>
    </xf>
    <xf numFmtId="167" fontId="103" fillId="2" borderId="11" xfId="0" applyNumberFormat="1" applyFont="1" applyFill="1" applyBorder="1" applyAlignment="1">
      <alignment horizontal="center"/>
    </xf>
    <xf numFmtId="0" fontId="8" fillId="0" borderId="8" xfId="0" applyFont="1" applyBorder="1"/>
    <xf numFmtId="2" fontId="0" fillId="2" borderId="0" xfId="0" applyNumberFormat="1" applyFill="1" applyAlignment="1">
      <alignment horizontal="center"/>
    </xf>
    <xf numFmtId="2" fontId="58" fillId="2" borderId="0" xfId="0" applyNumberFormat="1" applyFont="1" applyFill="1" applyAlignment="1">
      <alignment horizontal="center"/>
    </xf>
    <xf numFmtId="0" fontId="54" fillId="2" borderId="36" xfId="0" applyFont="1" applyFill="1" applyBorder="1" applyAlignment="1">
      <alignment horizontal="center" vertical="center" wrapText="1"/>
    </xf>
    <xf numFmtId="0" fontId="58" fillId="0" borderId="11" xfId="0" applyFont="1" applyBorder="1"/>
    <xf numFmtId="0" fontId="58" fillId="0" borderId="11" xfId="0" applyFont="1" applyBorder="1" applyAlignment="1">
      <alignment horizontal="left" wrapText="1"/>
    </xf>
    <xf numFmtId="0" fontId="79" fillId="2" borderId="11" xfId="0" applyFont="1" applyFill="1" applyBorder="1" applyAlignment="1">
      <alignment horizontal="center" vertical="center"/>
    </xf>
    <xf numFmtId="0" fontId="105" fillId="2" borderId="1" xfId="0" applyFont="1" applyFill="1" applyBorder="1" applyAlignment="1">
      <alignment horizontal="justify" vertical="top" wrapText="1"/>
    </xf>
    <xf numFmtId="0" fontId="81" fillId="0" borderId="11" xfId="0" applyFont="1" applyBorder="1" applyAlignment="1">
      <alignment horizontal="left" vertical="top"/>
    </xf>
    <xf numFmtId="0" fontId="108" fillId="9" borderId="1" xfId="0" applyFont="1" applyFill="1" applyBorder="1" applyAlignment="1">
      <alignment vertical="top"/>
    </xf>
    <xf numFmtId="0" fontId="108" fillId="9" borderId="1" xfId="0" applyFont="1" applyFill="1" applyBorder="1" applyAlignment="1">
      <alignment vertical="top" wrapText="1"/>
    </xf>
    <xf numFmtId="0" fontId="109" fillId="2" borderId="0" xfId="0" applyFont="1" applyFill="1"/>
    <xf numFmtId="0" fontId="108" fillId="2" borderId="1" xfId="0" applyFont="1" applyFill="1" applyBorder="1" applyAlignment="1">
      <alignment vertical="top" wrapText="1"/>
    </xf>
    <xf numFmtId="0" fontId="108" fillId="2" borderId="1" xfId="0" applyFont="1" applyFill="1" applyBorder="1" applyAlignment="1">
      <alignment vertical="top"/>
    </xf>
    <xf numFmtId="165" fontId="58" fillId="2" borderId="5" xfId="0" applyNumberFormat="1" applyFont="1" applyFill="1" applyBorder="1" applyAlignment="1">
      <alignment horizontal="center" vertical="center"/>
    </xf>
    <xf numFmtId="165" fontId="58" fillId="0" borderId="5" xfId="0" applyNumberFormat="1" applyFont="1" applyBorder="1" applyAlignment="1">
      <alignment horizontal="center" vertical="center"/>
    </xf>
    <xf numFmtId="0" fontId="67" fillId="2" borderId="11" xfId="0" applyFont="1" applyFill="1" applyBorder="1" applyAlignment="1">
      <alignment horizontal="center" vertical="center"/>
    </xf>
    <xf numFmtId="0" fontId="26" fillId="2" borderId="1" xfId="0" applyFont="1" applyFill="1" applyBorder="1" applyAlignment="1">
      <alignment horizontal="center" vertical="center"/>
    </xf>
    <xf numFmtId="2" fontId="26" fillId="2" borderId="1" xfId="0" applyNumberFormat="1"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wrapText="1"/>
    </xf>
    <xf numFmtId="0" fontId="105" fillId="2" borderId="11" xfId="0" applyFont="1" applyFill="1" applyBorder="1" applyAlignment="1">
      <alignment horizontal="justify" vertical="top" wrapText="1"/>
    </xf>
    <xf numFmtId="0" fontId="80" fillId="2" borderId="11" xfId="0" applyFont="1" applyFill="1" applyBorder="1" applyAlignment="1">
      <alignment horizontal="left" vertical="center" wrapText="1"/>
    </xf>
    <xf numFmtId="0" fontId="26" fillId="2" borderId="11" xfId="1" applyFont="1" applyFill="1" applyBorder="1" applyAlignment="1">
      <alignment horizontal="center" vertical="center" wrapText="1"/>
    </xf>
    <xf numFmtId="165" fontId="26" fillId="2" borderId="11" xfId="1" applyNumberFormat="1" applyFont="1" applyFill="1" applyBorder="1" applyAlignment="1">
      <alignment horizontal="center" vertical="center" wrapText="1"/>
    </xf>
    <xf numFmtId="0" fontId="80" fillId="2" borderId="11" xfId="0" applyFont="1" applyFill="1" applyBorder="1" applyAlignment="1" applyProtection="1">
      <alignment vertical="center" wrapText="1"/>
      <protection locked="0"/>
    </xf>
    <xf numFmtId="0" fontId="80" fillId="2" borderId="11" xfId="0" applyFont="1" applyFill="1" applyBorder="1" applyAlignment="1">
      <alignment horizontal="justify" vertical="top" wrapText="1"/>
    </xf>
    <xf numFmtId="0" fontId="80" fillId="2" borderId="11" xfId="0" applyFont="1" applyFill="1" applyBorder="1" applyAlignment="1">
      <alignment vertical="center" wrapText="1"/>
    </xf>
    <xf numFmtId="0" fontId="80" fillId="2" borderId="11" xfId="0" applyFont="1" applyFill="1" applyBorder="1" applyAlignment="1">
      <alignment horizontal="justify" vertical="center" wrapText="1"/>
    </xf>
    <xf numFmtId="0" fontId="80" fillId="2" borderId="11" xfId="0" applyFont="1" applyFill="1" applyBorder="1" applyAlignment="1">
      <alignment horizontal="left" vertical="top" wrapText="1"/>
    </xf>
    <xf numFmtId="0" fontId="80" fillId="2" borderId="11" xfId="0" applyFont="1" applyFill="1" applyBorder="1" applyAlignment="1">
      <alignment vertical="center"/>
    </xf>
    <xf numFmtId="0" fontId="81" fillId="2" borderId="11" xfId="0" applyFont="1" applyFill="1" applyBorder="1" applyAlignment="1">
      <alignment horizontal="justify" vertical="top" wrapText="1"/>
    </xf>
    <xf numFmtId="0" fontId="80" fillId="2" borderId="11" xfId="0" applyFont="1" applyFill="1" applyBorder="1" applyAlignment="1">
      <alignment horizontal="justify" vertical="top"/>
    </xf>
    <xf numFmtId="0" fontId="40" fillId="2" borderId="11" xfId="0" applyFont="1" applyFill="1" applyBorder="1" applyAlignment="1">
      <alignment horizontal="center" vertical="center"/>
    </xf>
    <xf numFmtId="2" fontId="40" fillId="2" borderId="11" xfId="0" applyNumberFormat="1" applyFont="1" applyFill="1" applyBorder="1" applyAlignment="1">
      <alignment horizontal="center" vertical="center"/>
    </xf>
    <xf numFmtId="0" fontId="26" fillId="2" borderId="11" xfId="0" applyFont="1" applyFill="1" applyBorder="1" applyAlignment="1">
      <alignment vertical="top" wrapText="1"/>
    </xf>
    <xf numFmtId="0" fontId="40" fillId="2" borderId="11" xfId="0" applyFont="1" applyFill="1" applyBorder="1" applyAlignment="1">
      <alignment horizontal="center" vertical="center" wrapText="1"/>
    </xf>
    <xf numFmtId="0" fontId="58" fillId="0" borderId="11" xfId="0" applyFont="1" applyBorder="1" applyAlignment="1">
      <alignment horizontal="center" vertical="center" wrapText="1"/>
    </xf>
    <xf numFmtId="0" fontId="81" fillId="0" borderId="11" xfId="0" applyFont="1" applyBorder="1"/>
    <xf numFmtId="0" fontId="110" fillId="2" borderId="11" xfId="0" applyFont="1" applyFill="1" applyBorder="1" applyAlignment="1">
      <alignment vertical="top" wrapText="1"/>
    </xf>
    <xf numFmtId="2" fontId="102" fillId="2" borderId="11" xfId="0" applyNumberFormat="1" applyFont="1" applyFill="1" applyBorder="1" applyAlignment="1">
      <alignment horizontal="center" vertical="center"/>
    </xf>
    <xf numFmtId="0" fontId="102" fillId="2" borderId="11" xfId="0" applyFont="1" applyFill="1" applyBorder="1" applyAlignment="1">
      <alignment horizontal="center" vertical="center"/>
    </xf>
    <xf numFmtId="2" fontId="102" fillId="2" borderId="11" xfId="1" applyNumberFormat="1" applyFont="1" applyFill="1" applyBorder="1" applyAlignment="1">
      <alignment horizontal="center" vertical="center"/>
    </xf>
    <xf numFmtId="0" fontId="102" fillId="2" borderId="11" xfId="0" applyFont="1" applyFill="1" applyBorder="1" applyAlignment="1">
      <alignment vertical="top" wrapText="1"/>
    </xf>
    <xf numFmtId="0" fontId="102" fillId="2" borderId="11" xfId="0" applyFont="1" applyFill="1" applyBorder="1" applyAlignment="1">
      <alignment horizontal="center" vertical="center" wrapText="1"/>
    </xf>
    <xf numFmtId="0" fontId="102" fillId="2" borderId="11" xfId="0" applyFont="1" applyFill="1" applyBorder="1" applyAlignment="1">
      <alignment horizontal="center"/>
    </xf>
    <xf numFmtId="2" fontId="103" fillId="2" borderId="11" xfId="0" applyNumberFormat="1" applyFont="1" applyFill="1" applyBorder="1" applyAlignment="1">
      <alignment horizontal="center"/>
    </xf>
    <xf numFmtId="0" fontId="103" fillId="2" borderId="11" xfId="0" applyFont="1" applyFill="1" applyBorder="1" applyAlignment="1">
      <alignment horizontal="center"/>
    </xf>
    <xf numFmtId="2" fontId="102" fillId="2" borderId="11" xfId="0" applyNumberFormat="1" applyFont="1" applyFill="1" applyBorder="1" applyAlignment="1">
      <alignment horizontal="center"/>
    </xf>
    <xf numFmtId="0" fontId="102" fillId="2" borderId="11" xfId="0" applyFont="1" applyFill="1" applyBorder="1" applyAlignment="1">
      <alignment horizontal="center" wrapText="1"/>
    </xf>
    <xf numFmtId="2" fontId="112" fillId="2" borderId="11" xfId="0" applyNumberFormat="1" applyFont="1" applyFill="1" applyBorder="1" applyAlignment="1">
      <alignment horizontal="center" vertical="center"/>
    </xf>
    <xf numFmtId="2" fontId="112" fillId="2" borderId="11" xfId="0" applyNumberFormat="1" applyFont="1" applyFill="1" applyBorder="1" applyAlignment="1">
      <alignment horizontal="center"/>
    </xf>
    <xf numFmtId="0" fontId="112" fillId="2" borderId="11" xfId="0" applyFont="1" applyFill="1" applyBorder="1" applyAlignment="1">
      <alignment horizontal="center" vertical="center"/>
    </xf>
    <xf numFmtId="2" fontId="112" fillId="2" borderId="12" xfId="0" applyNumberFormat="1" applyFont="1" applyFill="1" applyBorder="1" applyAlignment="1">
      <alignment horizontal="center" vertical="center"/>
    </xf>
    <xf numFmtId="0" fontId="101" fillId="2" borderId="11" xfId="0" applyFont="1" applyFill="1" applyBorder="1" applyAlignment="1">
      <alignment horizontal="center" vertical="center" wrapText="1"/>
    </xf>
    <xf numFmtId="0" fontId="101" fillId="2" borderId="11" xfId="0" applyFont="1" applyFill="1" applyBorder="1" applyAlignment="1">
      <alignment vertical="top" wrapText="1"/>
    </xf>
    <xf numFmtId="0" fontId="113" fillId="2" borderId="11" xfId="0" applyFont="1" applyFill="1" applyBorder="1" applyAlignment="1">
      <alignment horizontal="center" vertical="center"/>
    </xf>
    <xf numFmtId="2" fontId="114" fillId="2" borderId="11" xfId="1" applyNumberFormat="1" applyFont="1" applyFill="1" applyBorder="1" applyAlignment="1">
      <alignment horizontal="center" vertical="center"/>
    </xf>
    <xf numFmtId="2" fontId="112" fillId="2" borderId="11" xfId="1" applyNumberFormat="1" applyFont="1" applyFill="1" applyBorder="1" applyAlignment="1">
      <alignment horizontal="center" vertical="center"/>
    </xf>
    <xf numFmtId="0" fontId="78" fillId="2" borderId="28" xfId="0" applyFont="1" applyFill="1" applyBorder="1" applyAlignment="1">
      <alignment vertical="center" wrapText="1"/>
    </xf>
    <xf numFmtId="0" fontId="81" fillId="0" borderId="28" xfId="0" applyFont="1" applyBorder="1" applyAlignment="1">
      <alignment wrapText="1"/>
    </xf>
    <xf numFmtId="2" fontId="111" fillId="2" borderId="0" xfId="0" applyNumberFormat="1" applyFont="1" applyFill="1" applyAlignment="1">
      <alignment vertical="center"/>
    </xf>
    <xf numFmtId="2" fontId="26" fillId="2" borderId="0" xfId="0" applyNumberFormat="1" applyFont="1" applyFill="1"/>
    <xf numFmtId="0" fontId="26" fillId="2" borderId="11" xfId="0" applyFont="1" applyFill="1" applyBorder="1" applyAlignment="1">
      <alignment horizontal="center" vertical="center" wrapText="1"/>
    </xf>
    <xf numFmtId="0" fontId="102" fillId="2" borderId="11" xfId="0" applyFont="1" applyFill="1" applyBorder="1"/>
    <xf numFmtId="0" fontId="59" fillId="0" borderId="24" xfId="0" applyFont="1" applyBorder="1"/>
    <xf numFmtId="0" fontId="8" fillId="0" borderId="11" xfId="0" applyFont="1" applyBorder="1"/>
    <xf numFmtId="0" fontId="81" fillId="0" borderId="0" xfId="0" applyFont="1"/>
    <xf numFmtId="0" fontId="80" fillId="2" borderId="11" xfId="0" applyFont="1" applyFill="1" applyBorder="1" applyAlignment="1">
      <alignment horizontal="center" vertical="center"/>
    </xf>
    <xf numFmtId="0" fontId="81" fillId="0" borderId="29" xfId="0" applyFont="1" applyBorder="1" applyAlignment="1">
      <alignment vertical="center" wrapText="1"/>
    </xf>
    <xf numFmtId="0" fontId="80" fillId="8" borderId="11" xfId="0" applyFont="1" applyFill="1" applyBorder="1" applyAlignment="1">
      <alignment horizontal="center" vertical="center" wrapText="1"/>
    </xf>
    <xf numFmtId="0" fontId="115" fillId="2" borderId="11" xfId="0" applyFont="1" applyFill="1" applyBorder="1" applyAlignment="1">
      <alignment horizontal="center" vertical="center"/>
    </xf>
    <xf numFmtId="2" fontId="115" fillId="2" borderId="11" xfId="0" applyNumberFormat="1" applyFont="1" applyFill="1" applyBorder="1" applyAlignment="1">
      <alignment horizontal="center" vertical="center"/>
    </xf>
    <xf numFmtId="2" fontId="116" fillId="2" borderId="11" xfId="0" applyNumberFormat="1" applyFont="1" applyFill="1" applyBorder="1" applyAlignment="1">
      <alignment horizontal="center" vertical="center"/>
    </xf>
    <xf numFmtId="2" fontId="115" fillId="2" borderId="11" xfId="1" applyNumberFormat="1" applyFont="1" applyFill="1" applyBorder="1" applyAlignment="1">
      <alignment horizontal="center" vertical="center"/>
    </xf>
    <xf numFmtId="2" fontId="115" fillId="2" borderId="11" xfId="0" applyNumberFormat="1" applyFont="1" applyFill="1" applyBorder="1" applyAlignment="1">
      <alignment horizontal="center" vertical="center" wrapText="1"/>
    </xf>
    <xf numFmtId="2" fontId="112" fillId="2" borderId="11" xfId="0" applyNumberFormat="1" applyFont="1" applyFill="1" applyBorder="1" applyAlignment="1">
      <alignment horizontal="center" vertical="center" wrapText="1"/>
    </xf>
    <xf numFmtId="0" fontId="112" fillId="2" borderId="29" xfId="0" applyFont="1" applyFill="1" applyBorder="1" applyAlignment="1">
      <alignment wrapText="1"/>
    </xf>
    <xf numFmtId="2" fontId="112" fillId="2" borderId="12" xfId="0" applyNumberFormat="1" applyFont="1" applyFill="1" applyBorder="1" applyAlignment="1">
      <alignment horizontal="center"/>
    </xf>
    <xf numFmtId="167" fontId="112" fillId="2" borderId="11" xfId="0" applyNumberFormat="1" applyFont="1" applyFill="1" applyBorder="1" applyAlignment="1">
      <alignment horizontal="center"/>
    </xf>
    <xf numFmtId="0" fontId="115" fillId="2" borderId="11" xfId="0" applyFont="1" applyFill="1" applyBorder="1" applyAlignment="1">
      <alignment vertical="top" wrapText="1"/>
    </xf>
    <xf numFmtId="0" fontId="81" fillId="0" borderId="9" xfId="0" applyFont="1" applyBorder="1" applyAlignment="1">
      <alignment horizontal="right" wrapText="1"/>
    </xf>
    <xf numFmtId="167" fontId="116" fillId="2" borderId="11" xfId="0" applyNumberFormat="1" applyFont="1" applyFill="1" applyBorder="1" applyAlignment="1">
      <alignment horizontal="center" vertical="center"/>
    </xf>
    <xf numFmtId="168" fontId="116" fillId="2" borderId="11" xfId="0" applyNumberFormat="1" applyFont="1" applyFill="1" applyBorder="1" applyAlignment="1">
      <alignment horizontal="center" vertical="center"/>
    </xf>
    <xf numFmtId="2" fontId="117" fillId="2" borderId="0" xfId="0" applyNumberFormat="1" applyFont="1" applyFill="1" applyAlignment="1">
      <alignment vertical="center"/>
    </xf>
    <xf numFmtId="0" fontId="118" fillId="6" borderId="11" xfId="0" applyFont="1" applyFill="1" applyBorder="1" applyAlignment="1">
      <alignment vertical="top"/>
    </xf>
    <xf numFmtId="0" fontId="118" fillId="6" borderId="11" xfId="0" applyFont="1" applyFill="1" applyBorder="1" applyAlignment="1">
      <alignment vertical="top" wrapText="1"/>
    </xf>
    <xf numFmtId="1" fontId="102" fillId="2" borderId="11" xfId="0" applyNumberFormat="1" applyFont="1" applyFill="1" applyBorder="1" applyAlignment="1">
      <alignment horizontal="center" vertical="center"/>
    </xf>
    <xf numFmtId="0" fontId="58" fillId="2" borderId="1" xfId="0" applyFont="1" applyFill="1" applyBorder="1" applyAlignment="1">
      <alignment horizontal="center" vertical="center"/>
    </xf>
    <xf numFmtId="0" fontId="80" fillId="2" borderId="15" xfId="0" applyFont="1" applyFill="1" applyBorder="1" applyAlignment="1">
      <alignment horizontal="center" vertical="center"/>
    </xf>
    <xf numFmtId="2" fontId="115" fillId="2" borderId="15" xfId="0" applyNumberFormat="1" applyFont="1" applyFill="1" applyBorder="1" applyAlignment="1">
      <alignment horizontal="center" vertical="center" wrapText="1"/>
    </xf>
    <xf numFmtId="0" fontId="59" fillId="0" borderId="28" xfId="0" applyFont="1" applyBorder="1" applyAlignment="1">
      <alignment horizontal="center"/>
    </xf>
    <xf numFmtId="165" fontId="59" fillId="0" borderId="11" xfId="0" applyNumberFormat="1" applyFont="1" applyBorder="1" applyAlignment="1">
      <alignment horizontal="center"/>
    </xf>
    <xf numFmtId="0" fontId="58" fillId="2" borderId="5"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0" xfId="0" applyFont="1" applyAlignment="1">
      <alignment horizontal="right"/>
    </xf>
    <xf numFmtId="0" fontId="21" fillId="0" borderId="0" xfId="0" applyFont="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1" fillId="0" borderId="2" xfId="0" applyFont="1" applyBorder="1" applyAlignment="1">
      <alignment horizontal="left"/>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left"/>
    </xf>
    <xf numFmtId="0" fontId="2" fillId="0" borderId="0" xfId="0" applyFont="1" applyAlignment="1">
      <alignment horizontal="left"/>
    </xf>
    <xf numFmtId="0" fontId="22"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2" xfId="0" applyFont="1" applyBorder="1" applyAlignment="1">
      <alignment horizontal="left"/>
    </xf>
    <xf numFmtId="0" fontId="5" fillId="0" borderId="1" xfId="0" applyFont="1" applyBorder="1" applyAlignment="1">
      <alignment horizontal="center" vertical="center" wrapText="1"/>
    </xf>
    <xf numFmtId="0" fontId="11" fillId="0" borderId="0" xfId="0" applyFont="1" applyAlignment="1">
      <alignment horizontal="left"/>
    </xf>
    <xf numFmtId="0" fontId="34" fillId="2" borderId="5"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27" fillId="0" borderId="0" xfId="0" applyFont="1" applyAlignment="1">
      <alignment horizontal="center"/>
    </xf>
    <xf numFmtId="0" fontId="50" fillId="2" borderId="0" xfId="0" applyFont="1" applyFill="1" applyAlignment="1">
      <alignment horizontal="center"/>
    </xf>
    <xf numFmtId="0" fontId="28" fillId="2" borderId="0" xfId="0" applyFont="1" applyFill="1" applyAlignment="1">
      <alignment horizontal="center"/>
    </xf>
    <xf numFmtId="166" fontId="48" fillId="0" borderId="0" xfId="0" applyNumberFormat="1" applyFont="1" applyAlignment="1">
      <alignment horizontal="center"/>
    </xf>
    <xf numFmtId="2" fontId="33" fillId="0" borderId="0" xfId="0" applyNumberFormat="1" applyFont="1" applyAlignment="1">
      <alignment horizontal="left"/>
    </xf>
    <xf numFmtId="0" fontId="46" fillId="2" borderId="14" xfId="0" applyFont="1" applyFill="1" applyBorder="1" applyAlignment="1">
      <alignment horizontal="right"/>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2" borderId="1" xfId="0" applyFont="1" applyFill="1" applyBorder="1" applyAlignment="1">
      <alignment horizontal="center" vertical="center"/>
    </xf>
    <xf numFmtId="0" fontId="34" fillId="2" borderId="5" xfId="0" applyFont="1" applyFill="1" applyBorder="1" applyAlignment="1">
      <alignment horizontal="center" vertical="center"/>
    </xf>
    <xf numFmtId="0" fontId="35" fillId="0" borderId="3" xfId="0" applyFont="1" applyBorder="1" applyAlignment="1">
      <alignment horizontal="left"/>
    </xf>
    <xf numFmtId="0" fontId="35" fillId="0" borderId="7" xfId="0" applyFont="1" applyBorder="1" applyAlignment="1">
      <alignment horizontal="left"/>
    </xf>
    <xf numFmtId="0" fontId="35" fillId="2" borderId="3" xfId="0" quotePrefix="1" applyFont="1" applyFill="1" applyBorder="1" applyAlignment="1">
      <alignment horizontal="left" wrapText="1"/>
    </xf>
    <xf numFmtId="0" fontId="35" fillId="2" borderId="7" xfId="0" quotePrefix="1" applyFont="1" applyFill="1" applyBorder="1" applyAlignment="1">
      <alignment horizontal="left" wrapText="1"/>
    </xf>
    <xf numFmtId="0" fontId="35" fillId="2" borderId="13" xfId="0" quotePrefix="1" applyFont="1" applyFill="1" applyBorder="1" applyAlignment="1">
      <alignment horizontal="left"/>
    </xf>
    <xf numFmtId="0" fontId="35" fillId="2" borderId="14" xfId="0" quotePrefix="1" applyFont="1" applyFill="1" applyBorder="1" applyAlignment="1">
      <alignment horizontal="left"/>
    </xf>
    <xf numFmtId="0" fontId="34" fillId="2" borderId="3"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8" xfId="0" applyFont="1" applyFill="1" applyBorder="1" applyAlignment="1">
      <alignment horizontal="center" vertical="center"/>
    </xf>
    <xf numFmtId="0" fontId="27" fillId="2" borderId="0" xfId="0" applyFont="1" applyFill="1" applyAlignment="1">
      <alignment horizontal="center"/>
    </xf>
    <xf numFmtId="0" fontId="58" fillId="2" borderId="5"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9" fillId="0" borderId="0" xfId="0" applyFont="1" applyAlignment="1">
      <alignment horizontal="center"/>
    </xf>
    <xf numFmtId="0" fontId="81" fillId="2" borderId="0" xfId="0" applyFont="1" applyFill="1" applyAlignment="1">
      <alignment horizontal="center"/>
    </xf>
    <xf numFmtId="166" fontId="83" fillId="0" borderId="0" xfId="0" applyNumberFormat="1" applyFont="1" applyAlignment="1">
      <alignment horizontal="center"/>
    </xf>
    <xf numFmtId="0" fontId="58" fillId="2" borderId="5" xfId="0" applyFont="1" applyFill="1" applyBorder="1" applyAlignment="1">
      <alignment horizontal="center" vertical="center"/>
    </xf>
    <xf numFmtId="0" fontId="58" fillId="2" borderId="8" xfId="0" applyFont="1" applyFill="1" applyBorder="1" applyAlignment="1">
      <alignment horizontal="center" vertical="center"/>
    </xf>
    <xf numFmtId="0" fontId="79" fillId="2" borderId="14" xfId="0" applyFont="1" applyFill="1" applyBorder="1" applyAlignment="1">
      <alignment horizontal="right"/>
    </xf>
    <xf numFmtId="0" fontId="58" fillId="0" borderId="1"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2" borderId="1"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4" xfId="0" applyFont="1" applyFill="1" applyBorder="1" applyAlignment="1">
      <alignment horizontal="center" vertical="center"/>
    </xf>
    <xf numFmtId="0" fontId="58" fillId="2" borderId="3"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4" xfId="0" applyFont="1" applyFill="1" applyBorder="1" applyAlignment="1">
      <alignment horizontal="center" vertical="center" wrapText="1"/>
    </xf>
    <xf numFmtId="0" fontId="67" fillId="0" borderId="0" xfId="0" applyFont="1" applyAlignment="1">
      <alignment horizontal="center"/>
    </xf>
    <xf numFmtId="0" fontId="58" fillId="2" borderId="5" xfId="0" applyFont="1" applyFill="1" applyBorder="1" applyAlignment="1">
      <alignment horizontal="center" vertical="top" wrapText="1"/>
    </xf>
    <xf numFmtId="0" fontId="58" fillId="2" borderId="8" xfId="0" applyFont="1" applyFill="1" applyBorder="1" applyAlignment="1">
      <alignment horizontal="center" vertical="top" wrapText="1"/>
    </xf>
    <xf numFmtId="0" fontId="58" fillId="2" borderId="12" xfId="0" applyFont="1" applyFill="1" applyBorder="1" applyAlignment="1">
      <alignment horizontal="center" vertical="top" wrapText="1"/>
    </xf>
    <xf numFmtId="0" fontId="67" fillId="0" borderId="17" xfId="3" applyFont="1" applyBorder="1" applyAlignment="1">
      <alignment horizontal="center" vertical="center" wrapText="1"/>
    </xf>
    <xf numFmtId="0" fontId="67" fillId="0" borderId="2" xfId="3" applyFont="1" applyBorder="1" applyAlignment="1">
      <alignment horizontal="center" vertical="center" wrapText="1"/>
    </xf>
    <xf numFmtId="0" fontId="87" fillId="6" borderId="0" xfId="0" applyFont="1" applyFill="1" applyAlignment="1">
      <alignment horizontal="center"/>
    </xf>
    <xf numFmtId="0" fontId="26" fillId="2" borderId="3"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2" borderId="3"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81" fillId="0" borderId="33" xfId="0" applyFont="1" applyBorder="1" applyAlignment="1">
      <alignment horizontal="center"/>
    </xf>
    <xf numFmtId="0" fontId="81" fillId="0" borderId="34" xfId="0" applyFont="1" applyBorder="1" applyAlignment="1">
      <alignment horizontal="center"/>
    </xf>
    <xf numFmtId="0" fontId="82" fillId="0" borderId="33" xfId="0" applyFont="1" applyBorder="1" applyAlignment="1">
      <alignment horizontal="center"/>
    </xf>
    <xf numFmtId="0" fontId="59" fillId="0" borderId="33" xfId="0" applyFont="1" applyBorder="1" applyAlignment="1">
      <alignment horizontal="center"/>
    </xf>
    <xf numFmtId="0" fontId="59" fillId="0" borderId="34" xfId="0" applyFont="1" applyBorder="1" applyAlignment="1">
      <alignment horizontal="center"/>
    </xf>
    <xf numFmtId="167" fontId="102" fillId="2" borderId="11" xfId="0" applyNumberFormat="1" applyFont="1" applyFill="1" applyBorder="1" applyAlignment="1">
      <alignment horizontal="center" vertical="center"/>
    </xf>
    <xf numFmtId="168" fontId="79" fillId="2" borderId="14" xfId="0" applyNumberFormat="1" applyFont="1" applyFill="1" applyBorder="1" applyAlignment="1">
      <alignment horizontal="center"/>
    </xf>
    <xf numFmtId="0" fontId="80" fillId="2" borderId="0" xfId="0" applyFont="1" applyFill="1" applyAlignment="1">
      <alignment horizontal="center"/>
    </xf>
    <xf numFmtId="0" fontId="80" fillId="2" borderId="0" xfId="0" quotePrefix="1" applyFont="1" applyFill="1"/>
    <xf numFmtId="0" fontId="80" fillId="2" borderId="0" xfId="0" applyFont="1" applyFill="1" applyAlignment="1">
      <alignment horizontal="left"/>
    </xf>
    <xf numFmtId="2" fontId="80" fillId="2" borderId="0" xfId="0" applyNumberFormat="1" applyFont="1" applyFill="1" applyAlignment="1">
      <alignment horizontal="left"/>
    </xf>
    <xf numFmtId="1" fontId="80" fillId="2" borderId="1" xfId="0" applyNumberFormat="1" applyFont="1" applyFill="1" applyBorder="1" applyAlignment="1">
      <alignment horizontal="right" vertical="center"/>
    </xf>
    <xf numFmtId="2" fontId="80" fillId="2" borderId="2" xfId="0" applyNumberFormat="1" applyFont="1" applyFill="1" applyBorder="1" applyAlignment="1">
      <alignment horizontal="left"/>
    </xf>
    <xf numFmtId="0" fontId="26" fillId="2" borderId="1" xfId="0" applyFont="1" applyFill="1" applyBorder="1" applyAlignment="1">
      <alignment horizontal="center" wrapText="1"/>
    </xf>
    <xf numFmtId="0" fontId="82" fillId="2" borderId="12" xfId="0" applyFont="1" applyFill="1" applyBorder="1" applyAlignment="1">
      <alignment horizontal="center"/>
    </xf>
    <xf numFmtId="0" fontId="81" fillId="2" borderId="12" xfId="0" applyFont="1" applyFill="1" applyBorder="1" applyAlignment="1">
      <alignment horizontal="center"/>
    </xf>
    <xf numFmtId="0" fontId="59" fillId="2" borderId="12" xfId="0" applyFont="1" applyFill="1" applyBorder="1"/>
    <xf numFmtId="0" fontId="81" fillId="2" borderId="11" xfId="0" applyFont="1" applyFill="1" applyBorder="1" applyAlignment="1">
      <alignment horizontal="left" vertical="top"/>
    </xf>
    <xf numFmtId="0" fontId="81" fillId="2" borderId="11" xfId="0" applyFont="1" applyFill="1" applyBorder="1" applyAlignment="1">
      <alignment horizontal="center"/>
    </xf>
    <xf numFmtId="0" fontId="58" fillId="8" borderId="11" xfId="0" applyFont="1" applyFill="1" applyBorder="1" applyAlignment="1">
      <alignment horizontal="center" wrapText="1"/>
    </xf>
    <xf numFmtId="0" fontId="54" fillId="2" borderId="11" xfId="0" applyFont="1" applyFill="1" applyBorder="1" applyAlignment="1">
      <alignment horizontal="center" vertical="center" wrapText="1"/>
    </xf>
    <xf numFmtId="0" fontId="81" fillId="2" borderId="11" xfId="0" applyFont="1" applyFill="1" applyBorder="1" applyAlignment="1">
      <alignment horizontal="left"/>
    </xf>
    <xf numFmtId="0" fontId="26" fillId="8" borderId="11" xfId="0" applyFont="1" applyFill="1" applyBorder="1" applyAlignment="1">
      <alignment horizontal="center" vertical="center" wrapText="1"/>
    </xf>
    <xf numFmtId="0" fontId="58" fillId="8" borderId="11"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112" fillId="2" borderId="11" xfId="0" applyFont="1" applyFill="1" applyBorder="1" applyAlignment="1">
      <alignment horizontal="center"/>
    </xf>
    <xf numFmtId="0" fontId="54" fillId="2" borderId="6" xfId="0" applyFont="1" applyFill="1" applyBorder="1" applyAlignment="1">
      <alignment horizontal="center" vertical="center" wrapText="1"/>
    </xf>
    <xf numFmtId="0" fontId="88" fillId="2" borderId="9" xfId="0" applyFont="1" applyFill="1" applyBorder="1" applyAlignment="1">
      <alignment horizontal="center"/>
    </xf>
    <xf numFmtId="0" fontId="89" fillId="8" borderId="11" xfId="0" applyFont="1" applyFill="1" applyBorder="1" applyAlignment="1">
      <alignment horizontal="center" vertical="center" wrapText="1"/>
    </xf>
    <xf numFmtId="0" fontId="58" fillId="2" borderId="13" xfId="0" applyFont="1" applyFill="1" applyBorder="1"/>
    <xf numFmtId="0" fontId="58" fillId="2" borderId="14" xfId="0" applyFont="1" applyFill="1" applyBorder="1"/>
    <xf numFmtId="0" fontId="60" fillId="2" borderId="14" xfId="0" applyFont="1" applyFill="1" applyBorder="1" applyAlignment="1">
      <alignment horizontal="center"/>
    </xf>
    <xf numFmtId="2" fontId="60" fillId="2" borderId="14" xfId="0" applyNumberFormat="1" applyFont="1" applyFill="1" applyBorder="1" applyAlignment="1">
      <alignment horizontal="right"/>
    </xf>
    <xf numFmtId="0" fontId="60" fillId="2" borderId="14" xfId="0" applyFont="1" applyFill="1" applyBorder="1"/>
    <xf numFmtId="0" fontId="60" fillId="2" borderId="16" xfId="0" applyFont="1" applyFill="1" applyBorder="1"/>
    <xf numFmtId="0" fontId="58" fillId="2" borderId="30" xfId="0" applyFont="1" applyFill="1" applyBorder="1"/>
    <xf numFmtId="0" fontId="60" fillId="2" borderId="0" xfId="0" applyFont="1" applyFill="1" applyAlignment="1">
      <alignment horizontal="center"/>
    </xf>
    <xf numFmtId="0" fontId="60" fillId="2" borderId="31" xfId="0" applyFont="1" applyFill="1" applyBorder="1"/>
    <xf numFmtId="0" fontId="59" fillId="2" borderId="0" xfId="0" applyFont="1" applyFill="1"/>
    <xf numFmtId="0" fontId="79" fillId="2" borderId="0" xfId="0" applyFont="1" applyFill="1" applyAlignment="1">
      <alignment horizontal="center"/>
    </xf>
    <xf numFmtId="2" fontId="58" fillId="2" borderId="31" xfId="0" applyNumberFormat="1" applyFont="1" applyFill="1" applyBorder="1"/>
    <xf numFmtId="0" fontId="58" fillId="2" borderId="17" xfId="0" applyFont="1" applyFill="1" applyBorder="1"/>
    <xf numFmtId="0" fontId="59" fillId="2" borderId="2" xfId="0" applyFont="1" applyFill="1" applyBorder="1"/>
    <xf numFmtId="0" fontId="60" fillId="2" borderId="2" xfId="0" applyFont="1" applyFill="1" applyBorder="1" applyAlignment="1">
      <alignment horizontal="center"/>
    </xf>
    <xf numFmtId="0" fontId="60" fillId="2" borderId="32" xfId="0" applyFont="1" applyFill="1" applyBorder="1"/>
    <xf numFmtId="0" fontId="58" fillId="2" borderId="0" xfId="0" applyFont="1" applyFill="1" applyAlignment="1">
      <alignment horizontal="center"/>
    </xf>
    <xf numFmtId="2" fontId="58" fillId="2" borderId="0" xfId="0" applyNumberFormat="1" applyFont="1" applyFill="1"/>
    <xf numFmtId="0" fontId="59" fillId="2" borderId="0" xfId="0" applyFont="1" applyFill="1" applyAlignment="1">
      <alignment horizontal="center"/>
    </xf>
    <xf numFmtId="166" fontId="80" fillId="2" borderId="0" xfId="0" applyNumberFormat="1" applyFont="1" applyFill="1" applyAlignment="1">
      <alignment horizontal="center"/>
    </xf>
    <xf numFmtId="2" fontId="102" fillId="2" borderId="0" xfId="0" applyNumberFormat="1" applyFont="1" applyFill="1" applyAlignment="1">
      <alignment vertical="center"/>
    </xf>
    <xf numFmtId="0" fontId="82" fillId="2" borderId="11" xfId="0" applyFont="1" applyFill="1" applyBorder="1"/>
    <xf numFmtId="0" fontId="81" fillId="2" borderId="11" xfId="0" applyFont="1" applyFill="1" applyBorder="1" applyAlignment="1">
      <alignment wrapText="1"/>
    </xf>
    <xf numFmtId="2" fontId="103" fillId="2" borderId="0" xfId="0" applyNumberFormat="1" applyFont="1" applyFill="1" applyAlignment="1">
      <alignment vertical="center"/>
    </xf>
    <xf numFmtId="0" fontId="80" fillId="2" borderId="11" xfId="0" applyFont="1" applyFill="1" applyBorder="1"/>
    <xf numFmtId="0" fontId="103" fillId="2" borderId="0" xfId="0" applyFont="1" applyFill="1"/>
    <xf numFmtId="168" fontId="102" fillId="2" borderId="11" xfId="0" applyNumberFormat="1" applyFont="1" applyFill="1" applyBorder="1" applyAlignment="1">
      <alignment horizontal="center" vertical="center"/>
    </xf>
    <xf numFmtId="0" fontId="25" fillId="2" borderId="11" xfId="0" applyFont="1" applyFill="1" applyBorder="1"/>
    <xf numFmtId="0" fontId="80" fillId="2" borderId="11" xfId="0" applyFont="1" applyFill="1" applyBorder="1" applyAlignment="1">
      <alignment wrapText="1"/>
    </xf>
    <xf numFmtId="0" fontId="80" fillId="2" borderId="11" xfId="0" applyFont="1" applyFill="1" applyBorder="1" applyAlignment="1">
      <alignment horizontal="left" wrapText="1"/>
    </xf>
    <xf numFmtId="0" fontId="25" fillId="2" borderId="0" xfId="0" applyFont="1" applyFill="1" applyAlignment="1">
      <alignment horizontal="center"/>
    </xf>
    <xf numFmtId="2" fontId="25" fillId="2" borderId="0" xfId="0" applyNumberFormat="1" applyFont="1" applyFill="1" applyAlignment="1">
      <alignment horizontal="center"/>
    </xf>
    <xf numFmtId="0" fontId="82" fillId="0" borderId="0" xfId="0" applyFont="1" applyAlignment="1">
      <alignment horizontal="center"/>
    </xf>
    <xf numFmtId="0" fontId="82" fillId="2" borderId="0" xfId="0" applyFont="1" applyFill="1" applyAlignment="1">
      <alignment horizontal="center"/>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60;&#2367;&#2306;&#2330;&#2366;&#2311;&#2325;&#2379;%20&#2354;&#2375;&#2326;&#2366;%20&#2408;&#2406;&#2413;&#2412;_&#2413;&#2413;\&#2325;&#2369;&#2344;%20&#2358;&#2367;&#2352;&#2381;&#2359;&#2325;&#2350;&#2366;%20&#2348;&#2332;&#2375;&#2335;&#2325;&#2379;%20&#2360;&#2381;&#2341;&#2367;&#2340;&#2368;%20&#2325;&#2375;%20&#2331;%20&#2361;&#2375;&#2352;&#2375;&#2352;%20&#2350;&#2366;&#2340;&#2381;&#2352;%20&#2349;&#2369;&#2325;&#2381;&#2340;&#2366;&#2344;&#2368;%20&#2310;&#2342;&#2375;&#2358;%20&#2340;&#2351;&#2366;&#2352;%20&#2327;&#2352;&#2381;&#2344;&#2369;&#2346;&#2352;&#2381;&#2344;&#2375;%20&#2347;&#2366;&#2351;&#23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10;.&#2348;.&#2408;&#2406;&#2413;&#2415;_&#2414;&#2406;%20&#2325;&#2379;%20&#2340;&#2375;&#2358;&#2381;&#2352;&#2379;%20&#2340;&#2381;&#2352;&#2376;&#2350;&#2366;&#2360;&#2367;&#2325;%20&#2346;&#2381;&#2352;&#2327;&#2340;&#2368;%20&#2346;&#2381;&#2352;&#2342;&#2375;&#2358;%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pt"/>
      <sheetName val="1203"/>
      <sheetName val="1204"/>
      <sheetName val="113"/>
      <sheetName val="114"/>
      <sheetName val="Chalu 208"/>
      <sheetName val="Pujigat 208 (8)"/>
      <sheetName val="Pujigat 208"/>
      <sheetName val="13old"/>
      <sheetName val="12031."/>
      <sheetName val="12031-1"/>
      <sheetName val="12031-2"/>
      <sheetName val="12031-3"/>
      <sheetName val="12031-4"/>
      <sheetName val="12031-5"/>
      <sheetName val="12031-6"/>
      <sheetName val="12031-7"/>
      <sheetName val="12033-1"/>
      <sheetName val="274"/>
      <sheetName val="12034-0"/>
      <sheetName val="12034-1"/>
      <sheetName val="12034-2"/>
      <sheetName val="12034-3"/>
      <sheetName val="12034-4"/>
      <sheetName val="12034-5"/>
      <sheetName val="12034-6"/>
    </sheetNames>
    <sheetDataSet>
      <sheetData sheetId="0"/>
      <sheetData sheetId="1"/>
      <sheetData sheetId="2">
        <row r="18">
          <cell r="G18">
            <v>72355865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एकिकृत बिवरण"/>
      <sheetName val="337001204"/>
      <sheetName val="337030114"/>
      <sheetName val="वार्षिक प्रगती प्रदेश ०७६। ०७७"/>
      <sheetName val="वार्षिक प्रगती संघ "/>
      <sheetName val="तेश्रो प्रगती संघ"/>
      <sheetName val="1st qtr progress"/>
      <sheetName val="1st qtr progress (Final)"/>
      <sheetName val="2nd qtr progress"/>
      <sheetName val="3rd and Final Progress  (MIP)"/>
      <sheetName val="3rd and Final Progress  (NITP)"/>
      <sheetName val="3rd and Final Progress  (Rpair)"/>
      <sheetName val="3rd and Final Progress  (Nadi)"/>
      <sheetName val="3rd and Final Progress  (Pahir)"/>
      <sheetName val="Work order "/>
      <sheetName val="3rd Trimester Progress(Pradesh "/>
      <sheetName val="3rd Trimester Progress(Sangh)"/>
      <sheetName val="Sheet2"/>
      <sheetName val="Sheet1"/>
      <sheetName val="2nd Trimester Progress(Prad (2)"/>
      <sheetName val="2nd Trimester Progress(San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AB23">
            <v>0</v>
          </cell>
        </row>
        <row r="24">
          <cell r="AB24">
            <v>0</v>
          </cell>
        </row>
        <row r="25">
          <cell r="AB25">
            <v>4.79</v>
          </cell>
        </row>
        <row r="26">
          <cell r="AB26">
            <v>24.36</v>
          </cell>
        </row>
        <row r="27">
          <cell r="AB27">
            <v>24.88</v>
          </cell>
        </row>
        <row r="28">
          <cell r="AB28">
            <v>12.78</v>
          </cell>
        </row>
        <row r="29">
          <cell r="AB29">
            <v>20</v>
          </cell>
        </row>
        <row r="30">
          <cell r="AB30">
            <v>0</v>
          </cell>
        </row>
        <row r="31">
          <cell r="AB31">
            <v>15</v>
          </cell>
        </row>
        <row r="32">
          <cell r="AB32">
            <v>7.97</v>
          </cell>
        </row>
        <row r="33">
          <cell r="AB33">
            <v>0</v>
          </cell>
        </row>
        <row r="34">
          <cell r="AB34">
            <v>7.98</v>
          </cell>
        </row>
        <row r="35">
          <cell r="AB35">
            <v>7.98</v>
          </cell>
        </row>
        <row r="36">
          <cell r="AB36">
            <v>7.98</v>
          </cell>
        </row>
        <row r="37">
          <cell r="AB37">
            <v>0</v>
          </cell>
        </row>
        <row r="38">
          <cell r="AB38">
            <v>0</v>
          </cell>
        </row>
        <row r="39">
          <cell r="AB39">
            <v>7.97</v>
          </cell>
        </row>
        <row r="40">
          <cell r="AB40">
            <v>9.99</v>
          </cell>
        </row>
        <row r="42">
          <cell r="AB42">
            <v>7.95</v>
          </cell>
        </row>
        <row r="43">
          <cell r="AB43">
            <v>7.91</v>
          </cell>
        </row>
        <row r="44">
          <cell r="AB44">
            <v>0</v>
          </cell>
        </row>
        <row r="45">
          <cell r="AB45">
            <v>7.97</v>
          </cell>
        </row>
        <row r="47">
          <cell r="AB47">
            <v>0</v>
          </cell>
        </row>
        <row r="48">
          <cell r="AB48">
            <v>0</v>
          </cell>
        </row>
        <row r="49">
          <cell r="AB49">
            <v>4.95</v>
          </cell>
        </row>
        <row r="50">
          <cell r="AB50">
            <v>4.9400000000000004</v>
          </cell>
        </row>
        <row r="51">
          <cell r="AB51">
            <v>0</v>
          </cell>
        </row>
        <row r="52">
          <cell r="AB52">
            <v>11.32</v>
          </cell>
        </row>
        <row r="53">
          <cell r="AB53">
            <v>10.38</v>
          </cell>
        </row>
        <row r="54">
          <cell r="AB54">
            <v>15.28</v>
          </cell>
        </row>
        <row r="55">
          <cell r="AB55">
            <v>0</v>
          </cell>
        </row>
        <row r="56">
          <cell r="AB56">
            <v>4.79</v>
          </cell>
        </row>
        <row r="57">
          <cell r="AB57">
            <v>4.79</v>
          </cell>
        </row>
        <row r="58">
          <cell r="AB58">
            <v>0</v>
          </cell>
        </row>
        <row r="59">
          <cell r="AB59">
            <v>0</v>
          </cell>
        </row>
        <row r="60">
          <cell r="AB60">
            <v>0</v>
          </cell>
        </row>
        <row r="61">
          <cell r="AB61">
            <v>0</v>
          </cell>
        </row>
        <row r="62">
          <cell r="AB62">
            <v>0</v>
          </cell>
        </row>
        <row r="63">
          <cell r="AB63">
            <v>0</v>
          </cell>
        </row>
        <row r="64">
          <cell r="AB64">
            <v>0</v>
          </cell>
        </row>
        <row r="65">
          <cell r="AB65">
            <v>4.78</v>
          </cell>
        </row>
        <row r="66">
          <cell r="AB66">
            <v>0</v>
          </cell>
        </row>
        <row r="67">
          <cell r="AB67">
            <v>12.11</v>
          </cell>
        </row>
        <row r="68">
          <cell r="AB68">
            <v>0</v>
          </cell>
        </row>
        <row r="69">
          <cell r="AB69">
            <v>0</v>
          </cell>
        </row>
        <row r="70">
          <cell r="AB70">
            <v>4.79</v>
          </cell>
        </row>
        <row r="71">
          <cell r="AB71">
            <v>4.67</v>
          </cell>
        </row>
        <row r="72">
          <cell r="AB72">
            <v>4.8</v>
          </cell>
        </row>
        <row r="73">
          <cell r="AB73">
            <v>0</v>
          </cell>
        </row>
        <row r="74">
          <cell r="AB74">
            <v>0</v>
          </cell>
        </row>
        <row r="75">
          <cell r="AB75">
            <v>0</v>
          </cell>
        </row>
        <row r="76">
          <cell r="AB76">
            <v>0</v>
          </cell>
        </row>
        <row r="77">
          <cell r="AB77">
            <v>0</v>
          </cell>
        </row>
        <row r="78">
          <cell r="AB78">
            <v>0</v>
          </cell>
        </row>
        <row r="79">
          <cell r="AB79">
            <v>0</v>
          </cell>
        </row>
        <row r="80">
          <cell r="AB80">
            <v>0</v>
          </cell>
        </row>
        <row r="81">
          <cell r="AB81">
            <v>0</v>
          </cell>
        </row>
        <row r="82">
          <cell r="AB82">
            <v>0</v>
          </cell>
        </row>
        <row r="83">
          <cell r="AB83">
            <v>0</v>
          </cell>
        </row>
        <row r="84">
          <cell r="AB84">
            <v>0</v>
          </cell>
        </row>
        <row r="85">
          <cell r="AB85">
            <v>0</v>
          </cell>
        </row>
        <row r="86">
          <cell r="AB86">
            <v>0</v>
          </cell>
        </row>
        <row r="87">
          <cell r="AB87">
            <v>4.87</v>
          </cell>
        </row>
        <row r="88">
          <cell r="AB88">
            <v>0</v>
          </cell>
        </row>
        <row r="90">
          <cell r="AB90">
            <v>0</v>
          </cell>
        </row>
        <row r="91">
          <cell r="AB91">
            <v>7.71</v>
          </cell>
        </row>
        <row r="92">
          <cell r="AB92">
            <v>7.99</v>
          </cell>
        </row>
        <row r="93">
          <cell r="AB93">
            <v>19.98</v>
          </cell>
        </row>
        <row r="94">
          <cell r="AB94">
            <v>7.99</v>
          </cell>
        </row>
        <row r="95">
          <cell r="AB95">
            <v>7.98</v>
          </cell>
        </row>
        <row r="96">
          <cell r="AB96">
            <v>15.06</v>
          </cell>
        </row>
        <row r="97">
          <cell r="AB97">
            <v>0</v>
          </cell>
        </row>
        <row r="98">
          <cell r="AB98">
            <v>0</v>
          </cell>
        </row>
        <row r="99">
          <cell r="AB99">
            <v>14.85</v>
          </cell>
        </row>
        <row r="100">
          <cell r="AB100">
            <v>0</v>
          </cell>
        </row>
        <row r="101">
          <cell r="AB101">
            <v>7.98</v>
          </cell>
        </row>
        <row r="102">
          <cell r="AB102">
            <v>0</v>
          </cell>
        </row>
        <row r="103">
          <cell r="AB103">
            <v>7.87</v>
          </cell>
        </row>
        <row r="104">
          <cell r="AB104">
            <v>7.72</v>
          </cell>
        </row>
        <row r="105">
          <cell r="AB105">
            <v>7.99</v>
          </cell>
        </row>
        <row r="106">
          <cell r="AB106">
            <v>7.6</v>
          </cell>
        </row>
        <row r="107">
          <cell r="AB107">
            <v>0</v>
          </cell>
        </row>
        <row r="108">
          <cell r="AB108">
            <v>8.32</v>
          </cell>
        </row>
        <row r="109">
          <cell r="AB109">
            <v>7.98</v>
          </cell>
        </row>
        <row r="110">
          <cell r="AB110">
            <v>7.91</v>
          </cell>
        </row>
        <row r="111">
          <cell r="AB111">
            <v>7.59</v>
          </cell>
        </row>
        <row r="112">
          <cell r="AB112">
            <v>7.81</v>
          </cell>
        </row>
        <row r="113">
          <cell r="AB113">
            <v>0</v>
          </cell>
        </row>
        <row r="114">
          <cell r="AB114">
            <v>7.92</v>
          </cell>
        </row>
        <row r="115">
          <cell r="AB115">
            <v>7.93</v>
          </cell>
        </row>
        <row r="116">
          <cell r="AB116">
            <v>0</v>
          </cell>
        </row>
        <row r="117">
          <cell r="AB117">
            <v>0</v>
          </cell>
        </row>
        <row r="118">
          <cell r="AB118">
            <v>7.9</v>
          </cell>
        </row>
        <row r="119">
          <cell r="AB119">
            <v>0</v>
          </cell>
        </row>
        <row r="120">
          <cell r="AB120">
            <v>0</v>
          </cell>
        </row>
        <row r="121">
          <cell r="AB121">
            <v>7.77</v>
          </cell>
        </row>
        <row r="122">
          <cell r="AB122">
            <v>7.68</v>
          </cell>
        </row>
        <row r="123">
          <cell r="AB123">
            <v>7.58</v>
          </cell>
        </row>
        <row r="124">
          <cell r="AB124">
            <v>7.62</v>
          </cell>
        </row>
        <row r="125">
          <cell r="AB125">
            <v>26.88</v>
          </cell>
        </row>
        <row r="126">
          <cell r="AB126">
            <v>0</v>
          </cell>
        </row>
        <row r="127">
          <cell r="AB127">
            <v>7.57</v>
          </cell>
        </row>
        <row r="128">
          <cell r="AB128">
            <v>0</v>
          </cell>
        </row>
        <row r="129">
          <cell r="AB129">
            <v>7.67</v>
          </cell>
        </row>
        <row r="130">
          <cell r="AB130">
            <v>44.53</v>
          </cell>
        </row>
        <row r="131">
          <cell r="AB131">
            <v>5.36</v>
          </cell>
        </row>
        <row r="132">
          <cell r="AB132">
            <v>9.58</v>
          </cell>
        </row>
        <row r="133">
          <cell r="AB133">
            <v>6.1</v>
          </cell>
        </row>
        <row r="135">
          <cell r="AB135">
            <v>0</v>
          </cell>
        </row>
        <row r="137">
          <cell r="AB137">
            <v>9.57</v>
          </cell>
        </row>
        <row r="138">
          <cell r="AB138">
            <v>6</v>
          </cell>
        </row>
        <row r="139">
          <cell r="AB139">
            <v>67.489999999999995</v>
          </cell>
        </row>
        <row r="140">
          <cell r="AB140">
            <v>30</v>
          </cell>
        </row>
        <row r="141">
          <cell r="AB141">
            <v>2.2799999999999998</v>
          </cell>
        </row>
        <row r="142">
          <cell r="AB142">
            <v>39.06</v>
          </cell>
        </row>
        <row r="143">
          <cell r="AB143">
            <v>19.100000000000001</v>
          </cell>
        </row>
        <row r="144">
          <cell r="AB144">
            <v>0</v>
          </cell>
        </row>
        <row r="145">
          <cell r="AB145">
            <v>18.98</v>
          </cell>
        </row>
        <row r="146">
          <cell r="AB146">
            <v>0</v>
          </cell>
        </row>
        <row r="147">
          <cell r="AB147">
            <v>12.44</v>
          </cell>
        </row>
        <row r="149">
          <cell r="AB149">
            <v>7.55</v>
          </cell>
        </row>
        <row r="150">
          <cell r="AB150">
            <v>14.22</v>
          </cell>
        </row>
        <row r="151">
          <cell r="AB151">
            <v>4.66</v>
          </cell>
        </row>
        <row r="152">
          <cell r="AB152">
            <v>4.78</v>
          </cell>
        </row>
        <row r="153">
          <cell r="AB153">
            <v>4.78</v>
          </cell>
        </row>
        <row r="154">
          <cell r="AB154">
            <v>4.7699999999999996</v>
          </cell>
        </row>
        <row r="155">
          <cell r="AB155">
            <v>0</v>
          </cell>
        </row>
        <row r="156">
          <cell r="AB156">
            <v>0</v>
          </cell>
        </row>
        <row r="157">
          <cell r="AB157">
            <v>4.97</v>
          </cell>
        </row>
        <row r="158">
          <cell r="AB158">
            <v>4.97</v>
          </cell>
        </row>
        <row r="159">
          <cell r="AB159">
            <v>6.16</v>
          </cell>
        </row>
        <row r="160">
          <cell r="AB160">
            <v>0</v>
          </cell>
        </row>
        <row r="161">
          <cell r="AB161">
            <v>8.17</v>
          </cell>
        </row>
        <row r="162">
          <cell r="AB162">
            <v>2.95</v>
          </cell>
        </row>
        <row r="163">
          <cell r="AB163">
            <v>13.92</v>
          </cell>
        </row>
        <row r="166">
          <cell r="Q166">
            <v>0.81</v>
          </cell>
          <cell r="AB166">
            <v>7.79</v>
          </cell>
        </row>
        <row r="167">
          <cell r="Q167">
            <v>0.7</v>
          </cell>
          <cell r="AB167">
            <v>0.25</v>
          </cell>
        </row>
        <row r="168">
          <cell r="Q168">
            <v>0.81</v>
          </cell>
          <cell r="AB168">
            <v>7.39</v>
          </cell>
        </row>
        <row r="169">
          <cell r="Q169">
            <v>0.53</v>
          </cell>
          <cell r="AB169">
            <v>13.87</v>
          </cell>
        </row>
        <row r="170">
          <cell r="Q170">
            <v>0.78</v>
          </cell>
          <cell r="AB170">
            <v>19.04</v>
          </cell>
        </row>
        <row r="171">
          <cell r="Q171">
            <v>0.81</v>
          </cell>
          <cell r="AB171">
            <v>27.98</v>
          </cell>
        </row>
        <row r="172">
          <cell r="Q172">
            <v>0</v>
          </cell>
          <cell r="AB172">
            <v>0</v>
          </cell>
        </row>
        <row r="173">
          <cell r="Q173">
            <v>0.83</v>
          </cell>
          <cell r="AB173">
            <v>4.62</v>
          </cell>
        </row>
        <row r="174">
          <cell r="Q174">
            <v>0.57999999999999996</v>
          </cell>
          <cell r="AB174">
            <v>1.74</v>
          </cell>
        </row>
        <row r="175">
          <cell r="Q175">
            <v>0.67</v>
          </cell>
          <cell r="AB175">
            <v>0.16</v>
          </cell>
        </row>
        <row r="176">
          <cell r="Q176">
            <v>0.54</v>
          </cell>
          <cell r="AB176">
            <v>0.96</v>
          </cell>
        </row>
        <row r="177">
          <cell r="Q177">
            <v>0.88</v>
          </cell>
          <cell r="AB177">
            <v>0.21</v>
          </cell>
        </row>
        <row r="178">
          <cell r="Q178">
            <v>0.79</v>
          </cell>
          <cell r="AB178">
            <v>1.97</v>
          </cell>
        </row>
        <row r="179">
          <cell r="Q179">
            <v>10.25</v>
          </cell>
          <cell r="AB179">
            <v>2.46</v>
          </cell>
        </row>
        <row r="180">
          <cell r="Q180">
            <v>4656.25</v>
          </cell>
          <cell r="AB180">
            <v>7.45</v>
          </cell>
        </row>
        <row r="181">
          <cell r="Q181">
            <v>0</v>
          </cell>
          <cell r="AB181">
            <v>0</v>
          </cell>
        </row>
        <row r="182">
          <cell r="Q182">
            <v>0</v>
          </cell>
          <cell r="AB182">
            <v>0</v>
          </cell>
        </row>
        <row r="183">
          <cell r="Q183">
            <v>14</v>
          </cell>
          <cell r="AB183">
            <v>1.4</v>
          </cell>
        </row>
        <row r="184">
          <cell r="Q184">
            <v>14.35</v>
          </cell>
          <cell r="AB184">
            <v>2.87</v>
          </cell>
        </row>
        <row r="185">
          <cell r="Q185">
            <v>5.8</v>
          </cell>
          <cell r="AB185">
            <v>0.87</v>
          </cell>
        </row>
        <row r="186">
          <cell r="Q186">
            <v>47.269999999999996</v>
          </cell>
          <cell r="AB186">
            <v>7.09</v>
          </cell>
        </row>
        <row r="187">
          <cell r="Q187">
            <v>5.0699999999999994</v>
          </cell>
          <cell r="AB187">
            <v>0.76</v>
          </cell>
        </row>
        <row r="188">
          <cell r="Q188">
            <v>0.85</v>
          </cell>
          <cell r="AB188">
            <v>2.71</v>
          </cell>
        </row>
        <row r="189">
          <cell r="Q189">
            <v>1.7</v>
          </cell>
          <cell r="AB189">
            <v>6.07</v>
          </cell>
        </row>
        <row r="190">
          <cell r="Q190">
            <v>3</v>
          </cell>
          <cell r="AB190">
            <v>0.3</v>
          </cell>
        </row>
        <row r="191">
          <cell r="Q191">
            <v>0</v>
          </cell>
          <cell r="AB191">
            <v>0</v>
          </cell>
        </row>
        <row r="192">
          <cell r="Q192">
            <v>10.09</v>
          </cell>
          <cell r="AB192">
            <v>0.49</v>
          </cell>
        </row>
        <row r="193">
          <cell r="Q193">
            <v>13.97</v>
          </cell>
          <cell r="AB193">
            <v>3.91</v>
          </cell>
        </row>
        <row r="194">
          <cell r="Q194">
            <v>3.1399999999999997</v>
          </cell>
          <cell r="AB194">
            <v>0.47</v>
          </cell>
        </row>
        <row r="195">
          <cell r="Q195">
            <v>13.47</v>
          </cell>
          <cell r="AB195">
            <v>1.75</v>
          </cell>
        </row>
        <row r="196">
          <cell r="Q196">
            <v>14.79</v>
          </cell>
          <cell r="AB196">
            <v>2.0699999999999998</v>
          </cell>
        </row>
      </sheetData>
      <sheetData sheetId="16">
        <row r="24">
          <cell r="AB24">
            <v>0</v>
          </cell>
        </row>
        <row r="25">
          <cell r="AB25">
            <v>144.94999999999999</v>
          </cell>
        </row>
        <row r="26">
          <cell r="AB26">
            <v>97.38</v>
          </cell>
        </row>
        <row r="27">
          <cell r="AB27">
            <v>72.599999999999994</v>
          </cell>
        </row>
        <row r="28">
          <cell r="AB28">
            <v>71.36</v>
          </cell>
        </row>
        <row r="29">
          <cell r="AB29">
            <v>131.51</v>
          </cell>
        </row>
        <row r="30">
          <cell r="AB30">
            <v>125.66</v>
          </cell>
        </row>
        <row r="31">
          <cell r="AB31">
            <v>102.74</v>
          </cell>
        </row>
        <row r="32">
          <cell r="AB32">
            <v>0</v>
          </cell>
        </row>
        <row r="34">
          <cell r="AB34">
            <v>17.09</v>
          </cell>
        </row>
        <row r="35">
          <cell r="AB35">
            <v>0</v>
          </cell>
        </row>
        <row r="36">
          <cell r="AB36">
            <v>17.649999999999999</v>
          </cell>
        </row>
        <row r="37">
          <cell r="AB37">
            <v>49.99</v>
          </cell>
        </row>
        <row r="38">
          <cell r="AB38">
            <v>49.99</v>
          </cell>
        </row>
        <row r="39">
          <cell r="AB39">
            <v>29.99</v>
          </cell>
        </row>
        <row r="40">
          <cell r="AB40">
            <v>49.99</v>
          </cell>
        </row>
        <row r="42">
          <cell r="AB42">
            <v>12.14</v>
          </cell>
        </row>
        <row r="43">
          <cell r="AB43">
            <v>14.91</v>
          </cell>
        </row>
        <row r="44">
          <cell r="AB44">
            <v>10</v>
          </cell>
        </row>
        <row r="45">
          <cell r="AB45">
            <v>14.91</v>
          </cell>
        </row>
        <row r="46">
          <cell r="AB46">
            <v>14.97</v>
          </cell>
        </row>
      </sheetData>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cgas.fcgo.gov.np/" TargetMode="External"/><Relationship Id="rId2" Type="http://schemas.openxmlformats.org/officeDocument/2006/relationships/hyperlink" Target="https://cgas.fcgo.gov.np/" TargetMode="External"/><Relationship Id="rId1" Type="http://schemas.openxmlformats.org/officeDocument/2006/relationships/hyperlink" Target="https://cgas.fcgo.gov.np/"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21"/>
  <sheetViews>
    <sheetView workbookViewId="0">
      <selection activeCell="B12" sqref="B12"/>
    </sheetView>
  </sheetViews>
  <sheetFormatPr defaultColWidth="9.140625" defaultRowHeight="12.75"/>
  <cols>
    <col min="1" max="1" width="4.140625" style="1" customWidth="1"/>
    <col min="2" max="2" width="61.28515625" style="1" customWidth="1"/>
    <col min="3" max="3" width="16" style="1" customWidth="1"/>
    <col min="4" max="4" width="14" style="11" customWidth="1"/>
    <col min="5" max="5" width="14.85546875" style="1" customWidth="1"/>
    <col min="6" max="6" width="15.140625" style="1" customWidth="1"/>
    <col min="7" max="7" width="12.42578125" style="1" customWidth="1"/>
    <col min="8" max="8" width="13" style="1" customWidth="1"/>
    <col min="9" max="9" width="13.42578125" style="1" customWidth="1"/>
    <col min="10" max="10" width="15.28515625" style="1" customWidth="1"/>
    <col min="11" max="11" width="14.5703125" style="1" customWidth="1"/>
    <col min="12" max="12" width="11.140625" style="11" customWidth="1"/>
    <col min="13" max="16384" width="9.140625" style="1"/>
  </cols>
  <sheetData>
    <row r="1" spans="1:12" ht="14.25">
      <c r="A1" s="564"/>
      <c r="B1" s="564"/>
      <c r="C1" s="564"/>
      <c r="D1" s="564"/>
      <c r="E1" s="564"/>
      <c r="F1" s="564"/>
    </row>
    <row r="2" spans="1:12" ht="27">
      <c r="A2" s="565" t="s">
        <v>3</v>
      </c>
      <c r="B2" s="565"/>
      <c r="C2" s="565"/>
      <c r="D2" s="565"/>
      <c r="E2" s="565"/>
      <c r="F2" s="565"/>
      <c r="G2" s="565"/>
      <c r="H2" s="565"/>
      <c r="I2" s="565"/>
      <c r="J2" s="565"/>
      <c r="K2" s="565"/>
    </row>
    <row r="3" spans="1:12" ht="27">
      <c r="A3" s="565" t="s">
        <v>4</v>
      </c>
      <c r="B3" s="565"/>
      <c r="C3" s="565"/>
      <c r="D3" s="565"/>
      <c r="E3" s="565"/>
      <c r="F3" s="565"/>
      <c r="G3" s="565"/>
      <c r="H3" s="565"/>
      <c r="I3" s="565"/>
      <c r="J3" s="565"/>
      <c r="K3" s="565"/>
    </row>
    <row r="4" spans="1:12" ht="20.25">
      <c r="A4" s="568" t="s">
        <v>161</v>
      </c>
      <c r="B4" s="568"/>
      <c r="C4" s="568"/>
      <c r="D4" s="568"/>
      <c r="E4" s="568"/>
      <c r="F4" s="568"/>
      <c r="G4" s="568"/>
      <c r="H4" s="568"/>
      <c r="I4" s="568"/>
      <c r="J4" s="568"/>
      <c r="K4" s="568"/>
      <c r="L4" s="568"/>
    </row>
    <row r="5" spans="1:12" ht="42" customHeight="1">
      <c r="A5" s="562" t="s">
        <v>14</v>
      </c>
      <c r="B5" s="562" t="s">
        <v>15</v>
      </c>
      <c r="C5" s="562" t="s">
        <v>6</v>
      </c>
      <c r="D5" s="563" t="s">
        <v>5</v>
      </c>
      <c r="E5" s="563"/>
      <c r="F5" s="563"/>
      <c r="G5" s="566" t="s">
        <v>111</v>
      </c>
      <c r="H5" s="566"/>
      <c r="I5" s="566"/>
      <c r="J5" s="566" t="s">
        <v>12</v>
      </c>
      <c r="K5" s="567" t="s">
        <v>13</v>
      </c>
      <c r="L5" s="569" t="s">
        <v>24</v>
      </c>
    </row>
    <row r="6" spans="1:12" s="11" customFormat="1" ht="39.6" customHeight="1">
      <c r="A6" s="562"/>
      <c r="B6" s="562"/>
      <c r="C6" s="562"/>
      <c r="D6" s="43" t="s">
        <v>7</v>
      </c>
      <c r="E6" s="43" t="s">
        <v>17</v>
      </c>
      <c r="F6" s="43" t="s">
        <v>8</v>
      </c>
      <c r="G6" s="44" t="s">
        <v>9</v>
      </c>
      <c r="H6" s="45" t="s">
        <v>10</v>
      </c>
      <c r="I6" s="45" t="s">
        <v>11</v>
      </c>
      <c r="J6" s="566"/>
      <c r="K6" s="567"/>
      <c r="L6" s="570"/>
    </row>
    <row r="7" spans="1:12" s="17" customFormat="1" ht="22.5" customHeight="1">
      <c r="A7" s="39">
        <v>1</v>
      </c>
      <c r="B7" s="21" t="s">
        <v>22</v>
      </c>
      <c r="C7" s="19">
        <f>SUM(C8:C12)</f>
        <v>76303000</v>
      </c>
      <c r="D7" s="19">
        <f t="shared" ref="D7:K7" si="0">SUM(D8:D12)</f>
        <v>41689831</v>
      </c>
      <c r="E7" s="19">
        <f t="shared" si="0"/>
        <v>28685314</v>
      </c>
      <c r="F7" s="19">
        <f t="shared" si="0"/>
        <v>70375145</v>
      </c>
      <c r="G7" s="19">
        <f t="shared" si="0"/>
        <v>2795654.6</v>
      </c>
      <c r="H7" s="19">
        <f t="shared" si="0"/>
        <v>1980720</v>
      </c>
      <c r="I7" s="19">
        <f t="shared" si="0"/>
        <v>814934.60000000009</v>
      </c>
      <c r="J7" s="19">
        <f t="shared" si="0"/>
        <v>72355865</v>
      </c>
      <c r="K7" s="19">
        <f t="shared" si="0"/>
        <v>3947135</v>
      </c>
      <c r="L7" s="54">
        <f>J7/C7%</f>
        <v>94.827025149731995</v>
      </c>
    </row>
    <row r="8" spans="1:12" s="6" customFormat="1" ht="22.5" customHeight="1">
      <c r="A8" s="40" t="s">
        <v>27</v>
      </c>
      <c r="B8" s="42" t="str">
        <f>'337001204'!B9</f>
        <v>मर्मत सम्भार आयोजनाहरु</v>
      </c>
      <c r="C8" s="13">
        <f>'337001204'!C9</f>
        <v>2000000</v>
      </c>
      <c r="D8" s="13">
        <f>'337001204'!D9</f>
        <v>0</v>
      </c>
      <c r="E8" s="13">
        <f>'337001204'!E9</f>
        <v>1909073</v>
      </c>
      <c r="F8" s="13">
        <f>'337001204'!F9</f>
        <v>1909073</v>
      </c>
      <c r="G8" s="13">
        <f>'337001204'!G9</f>
        <v>76362.92</v>
      </c>
      <c r="H8" s="13">
        <f>'337001204'!H9</f>
        <v>76000</v>
      </c>
      <c r="I8" s="13">
        <f>'337001204'!I9</f>
        <v>362.91999999999825</v>
      </c>
      <c r="J8" s="13">
        <f>'337001204'!J9</f>
        <v>1985073</v>
      </c>
      <c r="K8" s="13">
        <f>'337001204'!K9</f>
        <v>14927</v>
      </c>
      <c r="L8" s="55">
        <f>'337001204'!L9</f>
        <v>99.253650000000007</v>
      </c>
    </row>
    <row r="9" spans="1:12" s="6" customFormat="1" ht="22.5" customHeight="1">
      <c r="A9" s="40" t="s">
        <v>156</v>
      </c>
      <c r="B9" s="42" t="str">
        <f>'337001204'!B11</f>
        <v>नदि नियन्त्रण</v>
      </c>
      <c r="C9" s="13">
        <f>'337001204'!C11</f>
        <v>19925000</v>
      </c>
      <c r="D9" s="13">
        <f>'337001204'!D11</f>
        <v>0</v>
      </c>
      <c r="E9" s="13">
        <f>'337001204'!E11</f>
        <v>18085592</v>
      </c>
      <c r="F9" s="13">
        <f>'337001204'!F11</f>
        <v>18085592</v>
      </c>
      <c r="G9" s="13">
        <f>'337001204'!G11</f>
        <v>723423.68000000017</v>
      </c>
      <c r="H9" s="13">
        <f>'337001204'!H11</f>
        <v>542907</v>
      </c>
      <c r="I9" s="13">
        <f>'337001204'!I11</f>
        <v>180516.68000000005</v>
      </c>
      <c r="J9" s="13">
        <f>'337001204'!J11</f>
        <v>18628499</v>
      </c>
      <c r="K9" s="13">
        <f>'337001204'!K11</f>
        <v>1296501</v>
      </c>
      <c r="L9" s="55">
        <f>'337001204'!L11</f>
        <v>93.49309410288582</v>
      </c>
    </row>
    <row r="10" spans="1:12" s="6" customFormat="1" ht="22.5" customHeight="1">
      <c r="A10" s="40" t="s">
        <v>42</v>
      </c>
      <c r="B10" s="42" t="str">
        <f>'337001204'!B17</f>
        <v xml:space="preserve">मझौला सिंचाई योजना </v>
      </c>
      <c r="C10" s="13">
        <f>'337001204'!C17</f>
        <v>30922000</v>
      </c>
      <c r="D10" s="13">
        <f>'337001204'!D17</f>
        <v>25020868</v>
      </c>
      <c r="E10" s="13">
        <f>'337001204'!E17</f>
        <v>3418774</v>
      </c>
      <c r="F10" s="13">
        <f>'337001204'!F17</f>
        <v>28439642</v>
      </c>
      <c r="G10" s="13">
        <f>'337001204'!G17</f>
        <v>1137585.6800000002</v>
      </c>
      <c r="H10" s="13">
        <f>'337001204'!H17</f>
        <v>935624</v>
      </c>
      <c r="I10" s="13">
        <f>'337001204'!I17</f>
        <v>201961.68</v>
      </c>
      <c r="J10" s="13">
        <f>'337001204'!J17</f>
        <v>29375266</v>
      </c>
      <c r="K10" s="13">
        <f>'337001204'!K17</f>
        <v>1546734</v>
      </c>
      <c r="L10" s="55">
        <f>'337001204'!L17</f>
        <v>94.997949679839593</v>
      </c>
    </row>
    <row r="11" spans="1:12" s="6" customFormat="1" ht="22.5" customHeight="1">
      <c r="A11" s="40" t="s">
        <v>112</v>
      </c>
      <c r="B11" s="42" t="str">
        <f>'337001204'!B30</f>
        <v>नयाँ प्रबिधिमा आधारित सिंचाई योजना</v>
      </c>
      <c r="C11" s="13">
        <f>'337001204'!C30</f>
        <v>2106000</v>
      </c>
      <c r="D11" s="13">
        <f>'337001204'!D30</f>
        <v>0</v>
      </c>
      <c r="E11" s="13">
        <f>'337001204'!E30</f>
        <v>1875798</v>
      </c>
      <c r="F11" s="13">
        <f>'337001204'!F30</f>
        <v>1875798</v>
      </c>
      <c r="G11" s="13">
        <f>'337001204'!G30</f>
        <v>60991.92</v>
      </c>
      <c r="H11" s="13">
        <f>'337001204'!H30</f>
        <v>12388</v>
      </c>
      <c r="I11" s="13">
        <f>'337001204'!I30</f>
        <v>48603.92</v>
      </c>
      <c r="J11" s="13">
        <f>'337001204'!J30</f>
        <v>1888186</v>
      </c>
      <c r="K11" s="13">
        <f>'337001204'!K30</f>
        <v>217814</v>
      </c>
      <c r="L11" s="55">
        <f>'337001204'!L30</f>
        <v>89.65745489078823</v>
      </c>
    </row>
    <row r="12" spans="1:12" s="6" customFormat="1" ht="22.5" customHeight="1">
      <c r="A12" s="40" t="s">
        <v>132</v>
      </c>
      <c r="B12" s="42" t="str">
        <f>'337001204'!B40</f>
        <v>समुदाय व्यवस्थित सिंचित कृषि क्षेत्र आयोजना पुँजीगत</v>
      </c>
      <c r="C12" s="13">
        <f>'337001204'!C40</f>
        <v>21350000</v>
      </c>
      <c r="D12" s="13">
        <f>'337001204'!D40</f>
        <v>16668963</v>
      </c>
      <c r="E12" s="13">
        <f>'337001204'!E40</f>
        <v>3396077</v>
      </c>
      <c r="F12" s="13">
        <f>'337001204'!F40</f>
        <v>20065040</v>
      </c>
      <c r="G12" s="13">
        <f>'337001204'!G40</f>
        <v>797290.4</v>
      </c>
      <c r="H12" s="13">
        <f>'337001204'!H40</f>
        <v>413801</v>
      </c>
      <c r="I12" s="13">
        <f>'337001204'!I40</f>
        <v>383489.4</v>
      </c>
      <c r="J12" s="13">
        <f>'337001204'!J40</f>
        <v>20478841</v>
      </c>
      <c r="K12" s="13">
        <f>'337001204'!K40</f>
        <v>871159</v>
      </c>
      <c r="L12" s="55">
        <f>'337001204'!L40</f>
        <v>95.919629976580794</v>
      </c>
    </row>
    <row r="13" spans="1:12" s="17" customFormat="1" ht="22.5" customHeight="1">
      <c r="A13" s="39">
        <v>2</v>
      </c>
      <c r="B13" s="21" t="s">
        <v>23</v>
      </c>
      <c r="C13" s="19">
        <f>SUM(C14:C17)</f>
        <v>114000000</v>
      </c>
      <c r="D13" s="19">
        <f t="shared" ref="D13:K13" si="1">SUM(D14:D17)</f>
        <v>36202589</v>
      </c>
      <c r="E13" s="19">
        <f t="shared" si="1"/>
        <v>55277082</v>
      </c>
      <c r="F13" s="19">
        <f t="shared" si="1"/>
        <v>91479671</v>
      </c>
      <c r="G13" s="19">
        <f t="shared" si="1"/>
        <v>3578521.4000000004</v>
      </c>
      <c r="H13" s="19">
        <f t="shared" si="1"/>
        <v>1749023</v>
      </c>
      <c r="I13" s="19">
        <f t="shared" si="1"/>
        <v>1829498.4</v>
      </c>
      <c r="J13" s="19">
        <f t="shared" si="1"/>
        <v>93228694</v>
      </c>
      <c r="K13" s="19">
        <f t="shared" si="1"/>
        <v>20771306</v>
      </c>
      <c r="L13" s="54">
        <f>J13/C13%</f>
        <v>81.779556140350877</v>
      </c>
    </row>
    <row r="14" spans="1:12" s="17" customFormat="1" ht="22.5" customHeight="1">
      <c r="A14" s="41" t="s">
        <v>27</v>
      </c>
      <c r="B14" s="42" t="str">
        <f>'337030114'!B9</f>
        <v>अन्य पूँजीगत कार्यक्रम</v>
      </c>
      <c r="C14" s="15">
        <f>'337030114'!C9</f>
        <v>12350000</v>
      </c>
      <c r="D14" s="15">
        <f>'337030114'!D9</f>
        <v>1799751</v>
      </c>
      <c r="E14" s="15">
        <f>'337030114'!E9</f>
        <v>212300</v>
      </c>
      <c r="F14" s="15">
        <f>'337030114'!F9</f>
        <v>2012051</v>
      </c>
      <c r="G14" s="15">
        <f>'337030114'!G9</f>
        <v>0</v>
      </c>
      <c r="H14" s="15">
        <f>'337030114'!H9</f>
        <v>0</v>
      </c>
      <c r="I14" s="15">
        <f>'337030114'!I9</f>
        <v>0</v>
      </c>
      <c r="J14" s="15">
        <f>'337030114'!J9</f>
        <v>2012051</v>
      </c>
      <c r="K14" s="15">
        <f>'337030114'!K9</f>
        <v>10337949</v>
      </c>
      <c r="L14" s="56">
        <f>'337030114'!L9</f>
        <v>16.29191093117409</v>
      </c>
    </row>
    <row r="15" spans="1:12" s="17" customFormat="1" ht="22.5" customHeight="1">
      <c r="A15" s="41" t="s">
        <v>31</v>
      </c>
      <c r="B15" s="42" t="str">
        <f>'337030114'!B14</f>
        <v>जलउत्पन्न प्रकोप ब्यवस्थापन तथा नदि नियन्त्रण</v>
      </c>
      <c r="C15" s="15">
        <f>'337030114'!C14</f>
        <v>27156000</v>
      </c>
      <c r="D15" s="15">
        <f>'337030114'!D14</f>
        <v>1434625</v>
      </c>
      <c r="E15" s="15">
        <f>'337030114'!E14</f>
        <v>24125039</v>
      </c>
      <c r="F15" s="15">
        <f>'337030114'!F14</f>
        <v>25559664</v>
      </c>
      <c r="G15" s="15">
        <f>'337030114'!G14</f>
        <v>1022386.5599999999</v>
      </c>
      <c r="H15" s="15">
        <f>'337030114'!H14</f>
        <v>615657</v>
      </c>
      <c r="I15" s="15">
        <f>'337030114'!I14</f>
        <v>406729.56</v>
      </c>
      <c r="J15" s="15">
        <f>'337030114'!J14</f>
        <v>26175321</v>
      </c>
      <c r="K15" s="15">
        <f>'337030114'!K14</f>
        <v>980679</v>
      </c>
      <c r="L15" s="56">
        <f>'337030114'!L14</f>
        <v>96.388720724701727</v>
      </c>
    </row>
    <row r="16" spans="1:12" s="17" customFormat="1" ht="22.5" customHeight="1">
      <c r="A16" s="41" t="s">
        <v>42</v>
      </c>
      <c r="B16" s="42" t="str">
        <f>'337030114'!B26</f>
        <v xml:space="preserve">मझौला सिंचाई योजना </v>
      </c>
      <c r="C16" s="15">
        <f>'337030114'!C26</f>
        <v>58445000</v>
      </c>
      <c r="D16" s="15">
        <f>'337030114'!D26</f>
        <v>32968213</v>
      </c>
      <c r="E16" s="15">
        <f>'337030114'!E26</f>
        <v>17884111</v>
      </c>
      <c r="F16" s="15">
        <f>'337030114'!F26</f>
        <v>50852324</v>
      </c>
      <c r="G16" s="15">
        <f>'337030114'!G26</f>
        <v>2034092.9600000004</v>
      </c>
      <c r="H16" s="15">
        <f>'337030114'!H26</f>
        <v>1100566</v>
      </c>
      <c r="I16" s="15">
        <f>'337030114'!I26</f>
        <v>933526.96000000008</v>
      </c>
      <c r="J16" s="15">
        <f>'337030114'!J26</f>
        <v>51952890</v>
      </c>
      <c r="K16" s="15">
        <f>'337030114'!K26</f>
        <v>6492110</v>
      </c>
      <c r="L16" s="56">
        <f>'337030114'!L26</f>
        <v>88.891932586192141</v>
      </c>
    </row>
    <row r="17" spans="1:12" s="17" customFormat="1" ht="22.5" customHeight="1">
      <c r="A17" s="41" t="s">
        <v>112</v>
      </c>
      <c r="B17" s="42" t="str">
        <f>'337030114'!B95</f>
        <v>नयाँ प्रबिधिमा आधारित सिंचाई योजना</v>
      </c>
      <c r="C17" s="15">
        <f>'337030114'!C95</f>
        <v>16049000</v>
      </c>
      <c r="D17" s="15">
        <f>'337030114'!D95</f>
        <v>0</v>
      </c>
      <c r="E17" s="15">
        <f>'337030114'!E95</f>
        <v>13055632</v>
      </c>
      <c r="F17" s="15">
        <f>'337030114'!F95</f>
        <v>13055632</v>
      </c>
      <c r="G17" s="15">
        <f>'337030114'!G95</f>
        <v>522041.88</v>
      </c>
      <c r="H17" s="15">
        <f>'337030114'!H95</f>
        <v>32800</v>
      </c>
      <c r="I17" s="15">
        <f>'337030114'!I95</f>
        <v>489241.88</v>
      </c>
      <c r="J17" s="15">
        <f>'337030114'!J95</f>
        <v>13088432</v>
      </c>
      <c r="K17" s="15">
        <f>'337030114'!K95</f>
        <v>2960568</v>
      </c>
      <c r="L17" s="56">
        <f>'337030114'!L95</f>
        <v>81.552944108667205</v>
      </c>
    </row>
    <row r="18" spans="1:12" s="20" customFormat="1" ht="22.5" customHeight="1">
      <c r="A18" s="560" t="s">
        <v>0</v>
      </c>
      <c r="B18" s="561"/>
      <c r="C18" s="19">
        <f>C7+C13</f>
        <v>190303000</v>
      </c>
      <c r="D18" s="19">
        <f t="shared" ref="D18:K18" si="2">D7+D13</f>
        <v>77892420</v>
      </c>
      <c r="E18" s="19">
        <f t="shared" si="2"/>
        <v>83962396</v>
      </c>
      <c r="F18" s="19">
        <f t="shared" si="2"/>
        <v>161854816</v>
      </c>
      <c r="G18" s="19">
        <f t="shared" si="2"/>
        <v>6374176</v>
      </c>
      <c r="H18" s="19">
        <f t="shared" si="2"/>
        <v>3729743</v>
      </c>
      <c r="I18" s="19">
        <f t="shared" si="2"/>
        <v>2644433</v>
      </c>
      <c r="J18" s="19">
        <f t="shared" si="2"/>
        <v>165584559</v>
      </c>
      <c r="K18" s="19">
        <f t="shared" si="2"/>
        <v>24718441</v>
      </c>
      <c r="L18" s="54">
        <f>J18/C18%</f>
        <v>87.011008234236982</v>
      </c>
    </row>
    <row r="19" spans="1:12">
      <c r="A19" s="2"/>
      <c r="B19" s="2"/>
      <c r="C19" s="2"/>
      <c r="D19" s="9"/>
      <c r="E19" s="3"/>
      <c r="F19" s="3"/>
    </row>
    <row r="20" spans="1:12" ht="15">
      <c r="A20" s="4"/>
      <c r="B20" s="4"/>
      <c r="C20" s="4"/>
      <c r="D20" s="10"/>
      <c r="E20" s="4"/>
      <c r="F20" s="4"/>
      <c r="G20" s="5"/>
    </row>
    <row r="21" spans="1:12" ht="15">
      <c r="A21" s="4"/>
      <c r="B21" s="4"/>
      <c r="C21" s="4"/>
      <c r="D21" s="10"/>
      <c r="E21" s="4"/>
      <c r="F21" s="4"/>
    </row>
  </sheetData>
  <mergeCells count="13">
    <mergeCell ref="A1:F1"/>
    <mergeCell ref="A2:K2"/>
    <mergeCell ref="A3:K3"/>
    <mergeCell ref="J5:J6"/>
    <mergeCell ref="K5:K6"/>
    <mergeCell ref="G5:I5"/>
    <mergeCell ref="A4:L4"/>
    <mergeCell ref="L5:L6"/>
    <mergeCell ref="A18:B18"/>
    <mergeCell ref="A5:A6"/>
    <mergeCell ref="B5:B6"/>
    <mergeCell ref="C5:C6"/>
    <mergeCell ref="D5:F5"/>
  </mergeCells>
  <printOptions horizontalCentered="1" verticalCentered="1"/>
  <pageMargins left="0.2" right="0.2" top="0.3" bottom="0.19" header="0.2" footer="0.19"/>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O65"/>
  <sheetViews>
    <sheetView topLeftCell="A13" workbookViewId="0">
      <selection activeCell="C21" sqref="C21"/>
    </sheetView>
  </sheetViews>
  <sheetFormatPr defaultColWidth="9.140625" defaultRowHeight="12.75"/>
  <cols>
    <col min="1" max="1" width="4.140625" style="1" customWidth="1"/>
    <col min="2" max="2" width="55.42578125" style="1" customWidth="1"/>
    <col min="3" max="3" width="14.5703125" style="1" customWidth="1"/>
    <col min="4" max="4" width="14.28515625" style="11" customWidth="1"/>
    <col min="5" max="5" width="14" style="1" customWidth="1"/>
    <col min="6" max="6" width="14.28515625" style="1" customWidth="1"/>
    <col min="7" max="7" width="13" style="1" customWidth="1"/>
    <col min="8" max="8" width="11.85546875" style="1" customWidth="1"/>
    <col min="9" max="9" width="11.140625" style="1" customWidth="1"/>
    <col min="10" max="10" width="13.85546875" style="1" customWidth="1"/>
    <col min="11" max="11" width="14" style="1" customWidth="1"/>
    <col min="12" max="12" width="10.42578125" style="1" bestFit="1" customWidth="1"/>
    <col min="13" max="13" width="22" style="1" customWidth="1"/>
    <col min="14" max="14" width="12.5703125" style="1" customWidth="1"/>
    <col min="15" max="15" width="13.85546875" style="1" customWidth="1"/>
    <col min="16" max="16384" width="9.140625" style="1"/>
  </cols>
  <sheetData>
    <row r="1" spans="1:14" ht="14.25">
      <c r="A1" s="564"/>
      <c r="B1" s="564"/>
      <c r="C1" s="564"/>
      <c r="D1" s="564"/>
      <c r="E1" s="564"/>
      <c r="F1" s="564"/>
    </row>
    <row r="2" spans="1:14" ht="15">
      <c r="A2" s="571" t="s">
        <v>3</v>
      </c>
      <c r="B2" s="571"/>
      <c r="C2" s="571"/>
      <c r="D2" s="571"/>
      <c r="E2" s="571"/>
      <c r="F2" s="571"/>
      <c r="G2" s="571"/>
      <c r="H2" s="571"/>
      <c r="I2" s="571"/>
      <c r="J2" s="571"/>
      <c r="K2" s="571"/>
      <c r="L2" s="571"/>
    </row>
    <row r="3" spans="1:14" ht="15">
      <c r="A3" s="571" t="s">
        <v>4</v>
      </c>
      <c r="B3" s="571"/>
      <c r="C3" s="571"/>
      <c r="D3" s="571"/>
      <c r="E3" s="571"/>
      <c r="F3" s="571"/>
      <c r="G3" s="571"/>
      <c r="H3" s="571"/>
      <c r="I3" s="571"/>
      <c r="J3" s="571"/>
      <c r="K3" s="571"/>
      <c r="L3" s="571"/>
    </row>
    <row r="4" spans="1:14" ht="18">
      <c r="A4" s="574" t="str">
        <f>'एकिकृत बिवरण'!A4:L4</f>
        <v>२०७६ श्रावण देखि २०७७ असार महिना सम्मको योजनागत खर्चको बिवरण</v>
      </c>
      <c r="B4" s="574"/>
      <c r="C4" s="574"/>
      <c r="D4" s="574"/>
      <c r="E4" s="574"/>
      <c r="F4" s="574"/>
      <c r="G4" s="574"/>
      <c r="H4" s="574"/>
      <c r="I4" s="574"/>
      <c r="J4" s="574"/>
      <c r="K4" s="574"/>
      <c r="L4" s="574"/>
    </row>
    <row r="5" spans="1:14">
      <c r="A5" s="572" t="s">
        <v>1</v>
      </c>
      <c r="B5" s="572"/>
      <c r="C5" s="34">
        <v>337001204</v>
      </c>
      <c r="D5" s="573" t="s">
        <v>16</v>
      </c>
      <c r="E5" s="573"/>
      <c r="F5" s="573"/>
    </row>
    <row r="6" spans="1:14" ht="18">
      <c r="A6" s="579" t="s">
        <v>2</v>
      </c>
      <c r="B6" s="579"/>
      <c r="C6" s="8" t="s">
        <v>158</v>
      </c>
      <c r="D6" s="12"/>
      <c r="E6" s="12"/>
      <c r="F6" s="12"/>
      <c r="H6" s="67"/>
      <c r="I6" s="68"/>
      <c r="J6" s="58"/>
      <c r="K6" s="52"/>
      <c r="L6" s="58"/>
      <c r="M6" s="60" t="s">
        <v>163</v>
      </c>
      <c r="N6" s="1">
        <v>50751002</v>
      </c>
    </row>
    <row r="7" spans="1:14" ht="20.25" customHeight="1">
      <c r="A7" s="580" t="s">
        <v>14</v>
      </c>
      <c r="B7" s="580" t="s">
        <v>15</v>
      </c>
      <c r="C7" s="580" t="s">
        <v>6</v>
      </c>
      <c r="D7" s="580" t="s">
        <v>5</v>
      </c>
      <c r="E7" s="580"/>
      <c r="F7" s="580"/>
      <c r="G7" s="575" t="s">
        <v>111</v>
      </c>
      <c r="H7" s="575"/>
      <c r="I7" s="575"/>
      <c r="J7" s="575" t="s">
        <v>12</v>
      </c>
      <c r="K7" s="575" t="s">
        <v>13</v>
      </c>
      <c r="L7" s="576" t="s">
        <v>25</v>
      </c>
      <c r="M7" s="60" t="s">
        <v>164</v>
      </c>
      <c r="N7" s="1">
        <f>J61</f>
        <v>21604863</v>
      </c>
    </row>
    <row r="8" spans="1:14" s="11" customFormat="1" ht="15.75" customHeight="1">
      <c r="A8" s="580"/>
      <c r="B8" s="580"/>
      <c r="C8" s="580"/>
      <c r="D8" s="31" t="s">
        <v>7</v>
      </c>
      <c r="E8" s="31" t="s">
        <v>17</v>
      </c>
      <c r="F8" s="31" t="s">
        <v>8</v>
      </c>
      <c r="G8" s="30" t="s">
        <v>9</v>
      </c>
      <c r="H8" s="32" t="s">
        <v>10</v>
      </c>
      <c r="I8" s="32" t="s">
        <v>11</v>
      </c>
      <c r="J8" s="575"/>
      <c r="K8" s="575"/>
      <c r="L8" s="576"/>
      <c r="M8" s="60" t="s">
        <v>165</v>
      </c>
      <c r="N8" s="11">
        <f>SUM(N6:N7)</f>
        <v>72355865</v>
      </c>
    </row>
    <row r="9" spans="1:14" s="6" customFormat="1" ht="22.5" customHeight="1">
      <c r="A9" s="26" t="s">
        <v>27</v>
      </c>
      <c r="B9" s="25" t="s">
        <v>133</v>
      </c>
      <c r="C9" s="16">
        <f>C10</f>
        <v>2000000</v>
      </c>
      <c r="D9" s="16">
        <f t="shared" ref="D9:K9" si="0">D10</f>
        <v>0</v>
      </c>
      <c r="E9" s="16">
        <f t="shared" si="0"/>
        <v>1909073</v>
      </c>
      <c r="F9" s="16">
        <f t="shared" si="0"/>
        <v>1909073</v>
      </c>
      <c r="G9" s="16">
        <f t="shared" si="0"/>
        <v>76362.92</v>
      </c>
      <c r="H9" s="16">
        <f t="shared" si="0"/>
        <v>76000</v>
      </c>
      <c r="I9" s="16">
        <f t="shared" si="0"/>
        <v>362.91999999999825</v>
      </c>
      <c r="J9" s="16">
        <f>J10</f>
        <v>1985073</v>
      </c>
      <c r="K9" s="16">
        <f t="shared" si="0"/>
        <v>14927</v>
      </c>
      <c r="L9" s="48">
        <f>J9/C9*100</f>
        <v>99.253650000000007</v>
      </c>
      <c r="M9" s="61" t="s">
        <v>167</v>
      </c>
      <c r="N9" s="59">
        <f>J45</f>
        <v>72355865</v>
      </c>
    </row>
    <row r="10" spans="1:14" s="6" customFormat="1" ht="22.5" customHeight="1">
      <c r="A10" s="24">
        <v>1</v>
      </c>
      <c r="B10" s="18" t="s">
        <v>134</v>
      </c>
      <c r="C10" s="13">
        <v>2000000</v>
      </c>
      <c r="D10" s="13">
        <v>0</v>
      </c>
      <c r="E10" s="15">
        <f>1477520+431553</f>
        <v>1909073</v>
      </c>
      <c r="F10" s="13">
        <f t="shared" ref="F10:F23" si="1">D10+E10</f>
        <v>1909073</v>
      </c>
      <c r="G10" s="13">
        <f>F10*4%</f>
        <v>76362.92</v>
      </c>
      <c r="H10" s="13">
        <v>76000</v>
      </c>
      <c r="I10" s="15">
        <f>G10-H10</f>
        <v>362.91999999999825</v>
      </c>
      <c r="J10" s="15">
        <f t="shared" ref="J10:J23" si="2">F10+H10</f>
        <v>1985073</v>
      </c>
      <c r="K10" s="15">
        <f t="shared" ref="K10:K23" si="3">C10-J10</f>
        <v>14927</v>
      </c>
      <c r="L10" s="47">
        <f t="shared" ref="L10:L23" si="4">J10/C10*100</f>
        <v>99.253650000000007</v>
      </c>
      <c r="M10" s="61" t="s">
        <v>166</v>
      </c>
      <c r="N10" s="59">
        <f>N9-N8</f>
        <v>0</v>
      </c>
    </row>
    <row r="11" spans="1:14" s="6" customFormat="1" ht="22.5" customHeight="1">
      <c r="A11" s="26" t="s">
        <v>156</v>
      </c>
      <c r="B11" s="25" t="s">
        <v>21</v>
      </c>
      <c r="C11" s="16">
        <f>SUM(C12:C16)</f>
        <v>19925000</v>
      </c>
      <c r="D11" s="16">
        <f t="shared" ref="D11:K11" si="5">SUM(D12:D16)</f>
        <v>0</v>
      </c>
      <c r="E11" s="16">
        <f t="shared" si="5"/>
        <v>18085592</v>
      </c>
      <c r="F11" s="16">
        <f t="shared" si="5"/>
        <v>18085592</v>
      </c>
      <c r="G11" s="16">
        <f t="shared" si="5"/>
        <v>723423.68000000017</v>
      </c>
      <c r="H11" s="16">
        <f t="shared" si="5"/>
        <v>542907</v>
      </c>
      <c r="I11" s="16">
        <f t="shared" si="5"/>
        <v>180516.68000000005</v>
      </c>
      <c r="J11" s="16">
        <f>SUM(J12:J16)</f>
        <v>18628499</v>
      </c>
      <c r="K11" s="16">
        <f t="shared" si="5"/>
        <v>1296501</v>
      </c>
      <c r="L11" s="48">
        <f t="shared" si="4"/>
        <v>93.49309410288582</v>
      </c>
    </row>
    <row r="12" spans="1:14" s="6" customFormat="1" ht="22.5" customHeight="1">
      <c r="A12" s="24">
        <v>1</v>
      </c>
      <c r="B12" s="18" t="s">
        <v>135</v>
      </c>
      <c r="C12" s="13">
        <v>1925000</v>
      </c>
      <c r="D12" s="13">
        <v>0</v>
      </c>
      <c r="E12" s="15">
        <v>1804243</v>
      </c>
      <c r="F12" s="13">
        <f t="shared" si="1"/>
        <v>1804243</v>
      </c>
      <c r="G12" s="13">
        <f t="shared" ref="G12:G23" si="6">F12*4%</f>
        <v>72169.72</v>
      </c>
      <c r="H12" s="13">
        <f>25775+46000</f>
        <v>71775</v>
      </c>
      <c r="I12" s="15">
        <f t="shared" ref="I12:I23" si="7">G12-H12</f>
        <v>394.72000000000116</v>
      </c>
      <c r="J12" s="15">
        <f t="shared" si="2"/>
        <v>1876018</v>
      </c>
      <c r="K12" s="15">
        <f t="shared" si="3"/>
        <v>48982</v>
      </c>
      <c r="L12" s="47">
        <f t="shared" si="4"/>
        <v>97.455480519480517</v>
      </c>
    </row>
    <row r="13" spans="1:14" s="6" customFormat="1" ht="22.5" customHeight="1">
      <c r="A13" s="24">
        <v>2</v>
      </c>
      <c r="B13" s="18" t="s">
        <v>136</v>
      </c>
      <c r="C13" s="13">
        <v>1000000</v>
      </c>
      <c r="D13" s="13">
        <v>0</v>
      </c>
      <c r="E13" s="15">
        <f>291690+419813+261174</f>
        <v>972677</v>
      </c>
      <c r="F13" s="13">
        <f t="shared" si="1"/>
        <v>972677</v>
      </c>
      <c r="G13" s="13">
        <f t="shared" si="6"/>
        <v>38907.08</v>
      </c>
      <c r="H13" s="13">
        <v>0</v>
      </c>
      <c r="I13" s="15">
        <f t="shared" si="7"/>
        <v>38907.08</v>
      </c>
      <c r="J13" s="15">
        <f t="shared" si="2"/>
        <v>972677</v>
      </c>
      <c r="K13" s="15">
        <f t="shared" si="3"/>
        <v>27323</v>
      </c>
      <c r="L13" s="47">
        <f t="shared" si="4"/>
        <v>97.267700000000005</v>
      </c>
    </row>
    <row r="14" spans="1:14" s="6" customFormat="1" ht="22.5" customHeight="1">
      <c r="A14" s="24">
        <v>3</v>
      </c>
      <c r="B14" s="18" t="s">
        <v>20</v>
      </c>
      <c r="C14" s="13">
        <v>2500000</v>
      </c>
      <c r="D14" s="13">
        <v>0</v>
      </c>
      <c r="E14" s="15">
        <f>1494077+897191</f>
        <v>2391268</v>
      </c>
      <c r="F14" s="13">
        <f t="shared" si="1"/>
        <v>2391268</v>
      </c>
      <c r="G14" s="13">
        <f t="shared" si="6"/>
        <v>95650.72</v>
      </c>
      <c r="H14" s="13">
        <f>9000+86500</f>
        <v>95500</v>
      </c>
      <c r="I14" s="15">
        <f t="shared" si="7"/>
        <v>150.72000000000116</v>
      </c>
      <c r="J14" s="15">
        <f t="shared" si="2"/>
        <v>2486768</v>
      </c>
      <c r="K14" s="15">
        <f t="shared" si="3"/>
        <v>13232</v>
      </c>
      <c r="L14" s="47">
        <f t="shared" si="4"/>
        <v>99.47072</v>
      </c>
    </row>
    <row r="15" spans="1:14" s="17" customFormat="1" ht="22.5" customHeight="1">
      <c r="A15" s="51">
        <v>4</v>
      </c>
      <c r="B15" s="18" t="s">
        <v>19</v>
      </c>
      <c r="C15" s="15">
        <v>12500000</v>
      </c>
      <c r="D15" s="15">
        <v>0</v>
      </c>
      <c r="E15" s="15">
        <f>960326+920687+2322799+957084+1901909+1220297+2734088</f>
        <v>11017190</v>
      </c>
      <c r="F15" s="15">
        <f t="shared" si="1"/>
        <v>11017190</v>
      </c>
      <c r="G15" s="15">
        <f t="shared" si="6"/>
        <v>440687.60000000003</v>
      </c>
      <c r="H15" s="15">
        <f>9350+366282</f>
        <v>375632</v>
      </c>
      <c r="I15" s="15">
        <f t="shared" si="7"/>
        <v>65055.600000000035</v>
      </c>
      <c r="J15" s="15">
        <f t="shared" si="2"/>
        <v>11392822</v>
      </c>
      <c r="K15" s="15">
        <f t="shared" si="3"/>
        <v>1107178</v>
      </c>
      <c r="L15" s="49">
        <f t="shared" si="4"/>
        <v>91.142575999999991</v>
      </c>
    </row>
    <row r="16" spans="1:14" ht="23.25">
      <c r="A16" s="24">
        <v>5</v>
      </c>
      <c r="B16" s="18" t="s">
        <v>137</v>
      </c>
      <c r="C16" s="13">
        <v>2000000</v>
      </c>
      <c r="D16" s="13">
        <v>0</v>
      </c>
      <c r="E16" s="15">
        <v>1900214</v>
      </c>
      <c r="F16" s="13">
        <f t="shared" si="1"/>
        <v>1900214</v>
      </c>
      <c r="G16" s="13">
        <f t="shared" si="6"/>
        <v>76008.56</v>
      </c>
      <c r="H16" s="13">
        <v>0</v>
      </c>
      <c r="I16" s="15">
        <f t="shared" si="7"/>
        <v>76008.56</v>
      </c>
      <c r="J16" s="15">
        <f t="shared" si="2"/>
        <v>1900214</v>
      </c>
      <c r="K16" s="15">
        <f t="shared" si="3"/>
        <v>99786</v>
      </c>
      <c r="L16" s="47">
        <f t="shared" si="4"/>
        <v>95.0107</v>
      </c>
    </row>
    <row r="17" spans="1:12" ht="23.25">
      <c r="A17" s="38" t="s">
        <v>42</v>
      </c>
      <c r="B17" s="23" t="s">
        <v>43</v>
      </c>
      <c r="C17" s="16">
        <f>SUM(C18:C29)</f>
        <v>30922000</v>
      </c>
      <c r="D17" s="16">
        <f t="shared" ref="D17:K17" si="8">SUM(D18:D29)</f>
        <v>25020868</v>
      </c>
      <c r="E17" s="16">
        <f t="shared" si="8"/>
        <v>3418774</v>
      </c>
      <c r="F17" s="16">
        <f t="shared" si="8"/>
        <v>28439642</v>
      </c>
      <c r="G17" s="16">
        <f t="shared" si="8"/>
        <v>1137585.6800000002</v>
      </c>
      <c r="H17" s="16">
        <f t="shared" si="8"/>
        <v>935624</v>
      </c>
      <c r="I17" s="16">
        <f t="shared" si="8"/>
        <v>201961.68</v>
      </c>
      <c r="J17" s="16">
        <f t="shared" si="8"/>
        <v>29375266</v>
      </c>
      <c r="K17" s="16">
        <f t="shared" si="8"/>
        <v>1546734</v>
      </c>
      <c r="L17" s="48">
        <f t="shared" si="4"/>
        <v>94.997949679839593</v>
      </c>
    </row>
    <row r="18" spans="1:12" ht="27" customHeight="1">
      <c r="A18" s="24">
        <v>1</v>
      </c>
      <c r="B18" s="18" t="s">
        <v>138</v>
      </c>
      <c r="C18" s="13">
        <v>0</v>
      </c>
      <c r="D18" s="13">
        <v>0</v>
      </c>
      <c r="E18" s="15">
        <v>0</v>
      </c>
      <c r="F18" s="13">
        <f t="shared" si="1"/>
        <v>0</v>
      </c>
      <c r="G18" s="13">
        <f t="shared" si="6"/>
        <v>0</v>
      </c>
      <c r="H18" s="13">
        <v>0</v>
      </c>
      <c r="I18" s="15">
        <f t="shared" si="7"/>
        <v>0</v>
      </c>
      <c r="J18" s="15">
        <f t="shared" si="2"/>
        <v>0</v>
      </c>
      <c r="K18" s="15">
        <f t="shared" si="3"/>
        <v>0</v>
      </c>
      <c r="L18" s="47">
        <v>0</v>
      </c>
    </row>
    <row r="19" spans="1:12" ht="27" customHeight="1">
      <c r="A19" s="24">
        <v>2</v>
      </c>
      <c r="B19" s="18" t="s">
        <v>139</v>
      </c>
      <c r="C19" s="13">
        <v>846000</v>
      </c>
      <c r="D19" s="13">
        <f>921810-205000</f>
        <v>716810</v>
      </c>
      <c r="E19" s="15">
        <v>0</v>
      </c>
      <c r="F19" s="13">
        <f t="shared" si="1"/>
        <v>716810</v>
      </c>
      <c r="G19" s="13">
        <f t="shared" si="6"/>
        <v>28672.400000000001</v>
      </c>
      <c r="H19" s="13">
        <v>0</v>
      </c>
      <c r="I19" s="15">
        <f t="shared" si="7"/>
        <v>28672.400000000001</v>
      </c>
      <c r="J19" s="15">
        <f t="shared" si="2"/>
        <v>716810</v>
      </c>
      <c r="K19" s="15">
        <f t="shared" si="3"/>
        <v>129190</v>
      </c>
      <c r="L19" s="47">
        <f t="shared" si="4"/>
        <v>84.729314420803775</v>
      </c>
    </row>
    <row r="20" spans="1:12" ht="23.25">
      <c r="A20" s="24">
        <v>3</v>
      </c>
      <c r="B20" s="18" t="s">
        <v>140</v>
      </c>
      <c r="C20" s="13">
        <v>0</v>
      </c>
      <c r="D20" s="13">
        <v>0</v>
      </c>
      <c r="E20" s="15">
        <v>0</v>
      </c>
      <c r="F20" s="13">
        <f t="shared" si="1"/>
        <v>0</v>
      </c>
      <c r="G20" s="13">
        <f t="shared" si="6"/>
        <v>0</v>
      </c>
      <c r="H20" s="13">
        <v>0</v>
      </c>
      <c r="I20" s="15">
        <f t="shared" si="7"/>
        <v>0</v>
      </c>
      <c r="J20" s="15">
        <f t="shared" si="2"/>
        <v>0</v>
      </c>
      <c r="K20" s="15">
        <f t="shared" si="3"/>
        <v>0</v>
      </c>
      <c r="L20" s="47">
        <v>0</v>
      </c>
    </row>
    <row r="21" spans="1:12" ht="25.5" customHeight="1">
      <c r="A21" s="24">
        <v>4</v>
      </c>
      <c r="B21" s="18" t="s">
        <v>46</v>
      </c>
      <c r="C21" s="13">
        <f>846000+25000000</f>
        <v>25846000</v>
      </c>
      <c r="D21" s="13">
        <f>21604058+2700000</f>
        <v>24304058</v>
      </c>
      <c r="E21" s="15">
        <v>376808</v>
      </c>
      <c r="F21" s="13">
        <f t="shared" si="1"/>
        <v>24680866</v>
      </c>
      <c r="G21" s="13">
        <f t="shared" si="6"/>
        <v>987234.64</v>
      </c>
      <c r="H21" s="13">
        <f>499134+65490+279000</f>
        <v>843624</v>
      </c>
      <c r="I21" s="15">
        <f t="shared" si="7"/>
        <v>143610.64000000001</v>
      </c>
      <c r="J21" s="15">
        <f t="shared" si="2"/>
        <v>25524490</v>
      </c>
      <c r="K21" s="15">
        <f t="shared" si="3"/>
        <v>321510</v>
      </c>
      <c r="L21" s="47">
        <f t="shared" si="4"/>
        <v>98.75605509556604</v>
      </c>
    </row>
    <row r="22" spans="1:12" ht="25.5" customHeight="1">
      <c r="A22" s="24">
        <v>5</v>
      </c>
      <c r="B22" s="18" t="s">
        <v>141</v>
      </c>
      <c r="C22" s="13">
        <v>0</v>
      </c>
      <c r="D22" s="13">
        <v>0</v>
      </c>
      <c r="E22" s="15">
        <v>0</v>
      </c>
      <c r="F22" s="13">
        <f t="shared" si="1"/>
        <v>0</v>
      </c>
      <c r="G22" s="13">
        <f t="shared" si="6"/>
        <v>0</v>
      </c>
      <c r="H22" s="13">
        <v>0</v>
      </c>
      <c r="I22" s="15">
        <f t="shared" si="7"/>
        <v>0</v>
      </c>
      <c r="J22" s="15">
        <f t="shared" si="2"/>
        <v>0</v>
      </c>
      <c r="K22" s="15">
        <f t="shared" si="3"/>
        <v>0</v>
      </c>
      <c r="L22" s="47">
        <v>0</v>
      </c>
    </row>
    <row r="23" spans="1:12" ht="25.5" customHeight="1">
      <c r="A23" s="24">
        <v>6</v>
      </c>
      <c r="B23" s="18" t="s">
        <v>48</v>
      </c>
      <c r="C23" s="13">
        <v>846000</v>
      </c>
      <c r="D23" s="13">
        <v>0</v>
      </c>
      <c r="E23" s="15">
        <v>0</v>
      </c>
      <c r="F23" s="13">
        <f t="shared" si="1"/>
        <v>0</v>
      </c>
      <c r="G23" s="13">
        <f t="shared" si="6"/>
        <v>0</v>
      </c>
      <c r="H23" s="13">
        <v>0</v>
      </c>
      <c r="I23" s="15">
        <f t="shared" si="7"/>
        <v>0</v>
      </c>
      <c r="J23" s="15">
        <f t="shared" si="2"/>
        <v>0</v>
      </c>
      <c r="K23" s="15">
        <f t="shared" si="3"/>
        <v>846000</v>
      </c>
      <c r="L23" s="47">
        <f t="shared" si="4"/>
        <v>0</v>
      </c>
    </row>
    <row r="24" spans="1:12" ht="23.25">
      <c r="A24" s="24">
        <v>7</v>
      </c>
      <c r="B24" s="18" t="s">
        <v>142</v>
      </c>
      <c r="C24" s="13">
        <v>846000</v>
      </c>
      <c r="D24" s="13">
        <v>0</v>
      </c>
      <c r="E24" s="15">
        <v>743296</v>
      </c>
      <c r="F24" s="13">
        <f t="shared" ref="F24:F44" si="9">D24+E24</f>
        <v>743296</v>
      </c>
      <c r="G24" s="13">
        <f t="shared" ref="G24:G44" si="10">F24*4%</f>
        <v>29731.84</v>
      </c>
      <c r="H24" s="13">
        <v>29500</v>
      </c>
      <c r="I24" s="15">
        <f t="shared" ref="I24:I44" si="11">G24-H24</f>
        <v>231.84000000000015</v>
      </c>
      <c r="J24" s="15">
        <f t="shared" ref="J24:J44" si="12">F24+H24</f>
        <v>772796</v>
      </c>
      <c r="K24" s="15">
        <f t="shared" ref="K24:K44" si="13">C24-J24</f>
        <v>73204</v>
      </c>
      <c r="L24" s="47">
        <f t="shared" ref="L24:L43" si="14">J24/C24*100</f>
        <v>91.347044917257676</v>
      </c>
    </row>
    <row r="25" spans="1:12" ht="23.25">
      <c r="A25" s="18">
        <v>8</v>
      </c>
      <c r="B25" s="18" t="s">
        <v>50</v>
      </c>
      <c r="C25" s="13">
        <v>0</v>
      </c>
      <c r="D25" s="13">
        <v>0</v>
      </c>
      <c r="E25" s="15">
        <v>0</v>
      </c>
      <c r="F25" s="13">
        <f t="shared" si="9"/>
        <v>0</v>
      </c>
      <c r="G25" s="13">
        <f t="shared" si="10"/>
        <v>0</v>
      </c>
      <c r="H25" s="13">
        <v>0</v>
      </c>
      <c r="I25" s="15">
        <f t="shared" si="11"/>
        <v>0</v>
      </c>
      <c r="J25" s="15">
        <f t="shared" si="12"/>
        <v>0</v>
      </c>
      <c r="K25" s="15">
        <f t="shared" si="13"/>
        <v>0</v>
      </c>
      <c r="L25" s="47">
        <v>0</v>
      </c>
    </row>
    <row r="26" spans="1:12" ht="23.25">
      <c r="A26" s="24">
        <v>9</v>
      </c>
      <c r="B26" s="18" t="s">
        <v>51</v>
      </c>
      <c r="C26" s="13">
        <v>0</v>
      </c>
      <c r="D26" s="13">
        <v>0</v>
      </c>
      <c r="E26" s="15">
        <v>0</v>
      </c>
      <c r="F26" s="13">
        <f t="shared" si="9"/>
        <v>0</v>
      </c>
      <c r="G26" s="13">
        <f t="shared" si="10"/>
        <v>0</v>
      </c>
      <c r="H26" s="13">
        <v>0</v>
      </c>
      <c r="I26" s="15">
        <f t="shared" si="11"/>
        <v>0</v>
      </c>
      <c r="J26" s="15">
        <f t="shared" si="12"/>
        <v>0</v>
      </c>
      <c r="K26" s="15">
        <f t="shared" si="13"/>
        <v>0</v>
      </c>
      <c r="L26" s="47">
        <v>0</v>
      </c>
    </row>
    <row r="27" spans="1:12" ht="23.25">
      <c r="A27" s="24">
        <v>10</v>
      </c>
      <c r="B27" s="18" t="s">
        <v>86</v>
      </c>
      <c r="C27" s="13">
        <v>846000</v>
      </c>
      <c r="D27" s="13">
        <v>0</v>
      </c>
      <c r="E27" s="15">
        <f>243900+481079</f>
        <v>724979</v>
      </c>
      <c r="F27" s="13">
        <f t="shared" si="9"/>
        <v>724979</v>
      </c>
      <c r="G27" s="13">
        <f t="shared" si="10"/>
        <v>28999.16</v>
      </c>
      <c r="H27" s="13">
        <v>0</v>
      </c>
      <c r="I27" s="15">
        <f t="shared" si="11"/>
        <v>28999.16</v>
      </c>
      <c r="J27" s="15">
        <f t="shared" si="12"/>
        <v>724979</v>
      </c>
      <c r="K27" s="15">
        <f t="shared" si="13"/>
        <v>121021</v>
      </c>
      <c r="L27" s="47">
        <f t="shared" si="14"/>
        <v>85.694917257683215</v>
      </c>
    </row>
    <row r="28" spans="1:12" ht="23.25">
      <c r="A28" s="24">
        <v>11</v>
      </c>
      <c r="B28" s="18" t="s">
        <v>143</v>
      </c>
      <c r="C28" s="13">
        <v>846000</v>
      </c>
      <c r="D28" s="13">
        <v>0</v>
      </c>
      <c r="E28" s="15">
        <v>810328</v>
      </c>
      <c r="F28" s="13">
        <f t="shared" si="9"/>
        <v>810328</v>
      </c>
      <c r="G28" s="13">
        <f t="shared" si="10"/>
        <v>32413.119999999999</v>
      </c>
      <c r="H28" s="13">
        <v>32000</v>
      </c>
      <c r="I28" s="15">
        <f t="shared" si="11"/>
        <v>413.11999999999898</v>
      </c>
      <c r="J28" s="15">
        <f t="shared" si="12"/>
        <v>842328</v>
      </c>
      <c r="K28" s="15">
        <f t="shared" si="13"/>
        <v>3672</v>
      </c>
      <c r="L28" s="47">
        <f t="shared" si="14"/>
        <v>99.565957446808511</v>
      </c>
    </row>
    <row r="29" spans="1:12" ht="25.5" customHeight="1">
      <c r="A29" s="24">
        <v>12</v>
      </c>
      <c r="B29" s="18" t="s">
        <v>109</v>
      </c>
      <c r="C29" s="13">
        <v>846000</v>
      </c>
      <c r="D29" s="13">
        <v>0</v>
      </c>
      <c r="E29" s="15">
        <v>763363</v>
      </c>
      <c r="F29" s="13">
        <f t="shared" si="9"/>
        <v>763363</v>
      </c>
      <c r="G29" s="13">
        <f t="shared" si="10"/>
        <v>30534.52</v>
      </c>
      <c r="H29" s="13">
        <v>30500</v>
      </c>
      <c r="I29" s="15">
        <f t="shared" si="11"/>
        <v>34.520000000000437</v>
      </c>
      <c r="J29" s="15">
        <f t="shared" si="12"/>
        <v>793863</v>
      </c>
      <c r="K29" s="15">
        <f t="shared" si="13"/>
        <v>52137</v>
      </c>
      <c r="L29" s="47">
        <f t="shared" si="14"/>
        <v>93.837234042553192</v>
      </c>
    </row>
    <row r="30" spans="1:12" ht="21.75" customHeight="1">
      <c r="A30" s="37" t="s">
        <v>112</v>
      </c>
      <c r="B30" s="23" t="s">
        <v>113</v>
      </c>
      <c r="C30" s="16">
        <f>SUM(C31:C39)</f>
        <v>2106000</v>
      </c>
      <c r="D30" s="16">
        <f t="shared" ref="D30:K30" si="15">SUM(D31:D39)</f>
        <v>0</v>
      </c>
      <c r="E30" s="16">
        <f t="shared" si="15"/>
        <v>1875798</v>
      </c>
      <c r="F30" s="16">
        <f t="shared" si="15"/>
        <v>1875798</v>
      </c>
      <c r="G30" s="16">
        <f t="shared" si="15"/>
        <v>60991.92</v>
      </c>
      <c r="H30" s="16">
        <f t="shared" si="15"/>
        <v>12388</v>
      </c>
      <c r="I30" s="16">
        <f t="shared" si="15"/>
        <v>48603.92</v>
      </c>
      <c r="J30" s="16">
        <f t="shared" si="15"/>
        <v>1888186</v>
      </c>
      <c r="K30" s="16">
        <f t="shared" si="15"/>
        <v>217814</v>
      </c>
      <c r="L30" s="48">
        <f t="shared" si="14"/>
        <v>89.65745489078823</v>
      </c>
    </row>
    <row r="31" spans="1:12" ht="23.25">
      <c r="A31" s="24">
        <v>1</v>
      </c>
      <c r="B31" s="18" t="s">
        <v>144</v>
      </c>
      <c r="C31" s="13">
        <v>351000</v>
      </c>
      <c r="D31" s="13">
        <v>0</v>
      </c>
      <c r="E31" s="15">
        <v>330921</v>
      </c>
      <c r="F31" s="13">
        <f t="shared" si="9"/>
        <v>330921</v>
      </c>
      <c r="G31" s="13">
        <f t="shared" si="10"/>
        <v>13236.84</v>
      </c>
      <c r="H31" s="13">
        <v>0</v>
      </c>
      <c r="I31" s="15">
        <f t="shared" si="11"/>
        <v>13236.84</v>
      </c>
      <c r="J31" s="15">
        <f t="shared" si="12"/>
        <v>330921</v>
      </c>
      <c r="K31" s="15">
        <f t="shared" si="13"/>
        <v>20079</v>
      </c>
      <c r="L31" s="47">
        <f t="shared" si="14"/>
        <v>94.279487179487177</v>
      </c>
    </row>
    <row r="32" spans="1:12" ht="27.75" customHeight="1">
      <c r="A32" s="24">
        <v>2</v>
      </c>
      <c r="B32" s="18" t="s">
        <v>145</v>
      </c>
      <c r="C32" s="13">
        <v>351000</v>
      </c>
      <c r="D32" s="13">
        <v>0</v>
      </c>
      <c r="E32" s="15">
        <f>162233+164138</f>
        <v>326371</v>
      </c>
      <c r="F32" s="13">
        <f t="shared" si="9"/>
        <v>326371</v>
      </c>
      <c r="G32" s="13">
        <f t="shared" si="10"/>
        <v>13054.84</v>
      </c>
      <c r="H32" s="13">
        <v>0</v>
      </c>
      <c r="I32" s="15">
        <f t="shared" si="11"/>
        <v>13054.84</v>
      </c>
      <c r="J32" s="15">
        <f t="shared" si="12"/>
        <v>326371</v>
      </c>
      <c r="K32" s="15">
        <f t="shared" si="13"/>
        <v>24629</v>
      </c>
      <c r="L32" s="47">
        <f t="shared" si="14"/>
        <v>92.983190883190886</v>
      </c>
    </row>
    <row r="33" spans="1:15" ht="23.25">
      <c r="A33" s="24">
        <v>3</v>
      </c>
      <c r="B33" s="18" t="s">
        <v>146</v>
      </c>
      <c r="C33" s="13">
        <v>351000</v>
      </c>
      <c r="D33" s="13">
        <v>0</v>
      </c>
      <c r="E33" s="15">
        <v>214056</v>
      </c>
      <c r="F33" s="13">
        <f t="shared" si="9"/>
        <v>214056</v>
      </c>
      <c r="G33" s="13">
        <f t="shared" si="10"/>
        <v>8562.24</v>
      </c>
      <c r="H33" s="13">
        <v>0</v>
      </c>
      <c r="I33" s="15">
        <f t="shared" si="11"/>
        <v>8562.24</v>
      </c>
      <c r="J33" s="15">
        <f t="shared" si="12"/>
        <v>214056</v>
      </c>
      <c r="K33" s="15">
        <f t="shared" si="13"/>
        <v>136944</v>
      </c>
      <c r="L33" s="47">
        <f t="shared" si="14"/>
        <v>60.984615384615381</v>
      </c>
    </row>
    <row r="34" spans="1:15" ht="25.5" customHeight="1">
      <c r="A34" s="24">
        <v>4</v>
      </c>
      <c r="B34" s="18" t="s">
        <v>147</v>
      </c>
      <c r="C34" s="13">
        <v>0</v>
      </c>
      <c r="D34" s="13">
        <v>0</v>
      </c>
      <c r="E34" s="15">
        <v>0</v>
      </c>
      <c r="F34" s="13">
        <f t="shared" si="9"/>
        <v>0</v>
      </c>
      <c r="G34" s="13">
        <f t="shared" si="10"/>
        <v>0</v>
      </c>
      <c r="H34" s="13">
        <v>0</v>
      </c>
      <c r="I34" s="15">
        <f t="shared" si="11"/>
        <v>0</v>
      </c>
      <c r="J34" s="15">
        <f t="shared" si="12"/>
        <v>0</v>
      </c>
      <c r="K34" s="15">
        <f t="shared" si="13"/>
        <v>0</v>
      </c>
      <c r="L34" s="47">
        <v>0</v>
      </c>
    </row>
    <row r="35" spans="1:15" ht="23.25">
      <c r="A35" s="24">
        <v>5</v>
      </c>
      <c r="B35" s="18" t="s">
        <v>114</v>
      </c>
      <c r="C35" s="13">
        <v>351000</v>
      </c>
      <c r="D35" s="13">
        <v>0</v>
      </c>
      <c r="E35" s="15">
        <f>355585-4585</f>
        <v>351000</v>
      </c>
      <c r="F35" s="13">
        <f t="shared" si="9"/>
        <v>351000</v>
      </c>
      <c r="G35" s="13">
        <v>0</v>
      </c>
      <c r="H35" s="13">
        <v>0</v>
      </c>
      <c r="I35" s="15">
        <f t="shared" si="11"/>
        <v>0</v>
      </c>
      <c r="J35" s="15">
        <f t="shared" si="12"/>
        <v>351000</v>
      </c>
      <c r="K35" s="15">
        <f t="shared" si="13"/>
        <v>0</v>
      </c>
      <c r="L35" s="47">
        <f t="shared" si="14"/>
        <v>100</v>
      </c>
    </row>
    <row r="36" spans="1:15" ht="23.25">
      <c r="A36" s="24">
        <v>6</v>
      </c>
      <c r="B36" s="18" t="s">
        <v>148</v>
      </c>
      <c r="C36" s="13">
        <v>351000</v>
      </c>
      <c r="D36" s="13">
        <v>0</v>
      </c>
      <c r="E36" s="15">
        <v>322037</v>
      </c>
      <c r="F36" s="13">
        <f t="shared" si="9"/>
        <v>322037</v>
      </c>
      <c r="G36" s="13">
        <f t="shared" si="10"/>
        <v>12881.48</v>
      </c>
      <c r="H36" s="13">
        <v>12388</v>
      </c>
      <c r="I36" s="15">
        <f t="shared" si="11"/>
        <v>493.47999999999956</v>
      </c>
      <c r="J36" s="15">
        <f t="shared" si="12"/>
        <v>334425</v>
      </c>
      <c r="K36" s="15">
        <f t="shared" si="13"/>
        <v>16575</v>
      </c>
      <c r="L36" s="47">
        <f t="shared" si="14"/>
        <v>95.277777777777771</v>
      </c>
    </row>
    <row r="37" spans="1:15" ht="23.25">
      <c r="A37" s="24">
        <v>7</v>
      </c>
      <c r="B37" s="18" t="s">
        <v>149</v>
      </c>
      <c r="C37" s="13">
        <v>0</v>
      </c>
      <c r="D37" s="13">
        <v>0</v>
      </c>
      <c r="E37" s="15">
        <v>0</v>
      </c>
      <c r="F37" s="13">
        <f t="shared" si="9"/>
        <v>0</v>
      </c>
      <c r="G37" s="13">
        <f t="shared" si="10"/>
        <v>0</v>
      </c>
      <c r="H37" s="13">
        <v>0</v>
      </c>
      <c r="I37" s="15">
        <f t="shared" si="11"/>
        <v>0</v>
      </c>
      <c r="J37" s="15">
        <f t="shared" si="12"/>
        <v>0</v>
      </c>
      <c r="K37" s="15">
        <f t="shared" si="13"/>
        <v>0</v>
      </c>
      <c r="L37" s="47">
        <v>0</v>
      </c>
    </row>
    <row r="38" spans="1:15" ht="23.25">
      <c r="A38" s="24">
        <v>8</v>
      </c>
      <c r="B38" s="18" t="s">
        <v>150</v>
      </c>
      <c r="C38" s="13">
        <v>351000</v>
      </c>
      <c r="D38" s="13">
        <v>0</v>
      </c>
      <c r="E38" s="15">
        <v>331413</v>
      </c>
      <c r="F38" s="13">
        <f t="shared" si="9"/>
        <v>331413</v>
      </c>
      <c r="G38" s="13">
        <f t="shared" si="10"/>
        <v>13256.52</v>
      </c>
      <c r="H38" s="13">
        <v>0</v>
      </c>
      <c r="I38" s="15">
        <f t="shared" si="11"/>
        <v>13256.52</v>
      </c>
      <c r="J38" s="15">
        <f t="shared" si="12"/>
        <v>331413</v>
      </c>
      <c r="K38" s="15">
        <f t="shared" si="13"/>
        <v>19587</v>
      </c>
      <c r="L38" s="47">
        <f t="shared" si="14"/>
        <v>94.419658119658123</v>
      </c>
    </row>
    <row r="39" spans="1:15" ht="23.25">
      <c r="A39" s="24">
        <v>9</v>
      </c>
      <c r="B39" s="18" t="s">
        <v>151</v>
      </c>
      <c r="C39" s="13">
        <v>0</v>
      </c>
      <c r="D39" s="13">
        <v>0</v>
      </c>
      <c r="E39" s="15">
        <v>0</v>
      </c>
      <c r="F39" s="13">
        <f t="shared" si="9"/>
        <v>0</v>
      </c>
      <c r="G39" s="13">
        <f t="shared" si="10"/>
        <v>0</v>
      </c>
      <c r="H39" s="13">
        <v>0</v>
      </c>
      <c r="I39" s="15">
        <f t="shared" si="11"/>
        <v>0</v>
      </c>
      <c r="J39" s="15">
        <f t="shared" si="12"/>
        <v>0</v>
      </c>
      <c r="K39" s="15">
        <f t="shared" si="13"/>
        <v>0</v>
      </c>
      <c r="L39" s="47">
        <v>0</v>
      </c>
    </row>
    <row r="40" spans="1:15" ht="23.25">
      <c r="A40" s="36" t="s">
        <v>132</v>
      </c>
      <c r="B40" s="23" t="s">
        <v>157</v>
      </c>
      <c r="C40" s="16">
        <f>SUM(C41:C44)</f>
        <v>21350000</v>
      </c>
      <c r="D40" s="16">
        <f t="shared" ref="D40:K40" si="16">SUM(D41:D44)</f>
        <v>16668963</v>
      </c>
      <c r="E40" s="16">
        <f t="shared" si="16"/>
        <v>3396077</v>
      </c>
      <c r="F40" s="16">
        <f t="shared" si="16"/>
        <v>20065040</v>
      </c>
      <c r="G40" s="16">
        <f t="shared" si="16"/>
        <v>797290.4</v>
      </c>
      <c r="H40" s="16">
        <f t="shared" si="16"/>
        <v>413801</v>
      </c>
      <c r="I40" s="16">
        <f t="shared" si="16"/>
        <v>383489.4</v>
      </c>
      <c r="J40" s="16">
        <f>SUM(J41:J44)</f>
        <v>20478841</v>
      </c>
      <c r="K40" s="16">
        <f t="shared" si="16"/>
        <v>871159</v>
      </c>
      <c r="L40" s="48">
        <f t="shared" si="14"/>
        <v>95.919629976580794</v>
      </c>
    </row>
    <row r="41" spans="1:15" ht="22.5" customHeight="1">
      <c r="A41" s="24">
        <v>1</v>
      </c>
      <c r="B41" s="18" t="s">
        <v>152</v>
      </c>
      <c r="C41" s="13">
        <v>150000</v>
      </c>
      <c r="D41" s="13">
        <v>0</v>
      </c>
      <c r="E41" s="15">
        <f>13330+30000+20000</f>
        <v>63330</v>
      </c>
      <c r="F41" s="13">
        <f t="shared" si="9"/>
        <v>63330</v>
      </c>
      <c r="G41" s="13">
        <v>0</v>
      </c>
      <c r="H41" s="13">
        <v>0</v>
      </c>
      <c r="I41" s="15">
        <f t="shared" si="11"/>
        <v>0</v>
      </c>
      <c r="J41" s="15">
        <f t="shared" si="12"/>
        <v>63330</v>
      </c>
      <c r="K41" s="15">
        <f t="shared" si="13"/>
        <v>86670</v>
      </c>
      <c r="L41" s="47">
        <f t="shared" si="14"/>
        <v>42.22</v>
      </c>
      <c r="M41" s="1">
        <v>20000</v>
      </c>
      <c r="N41" s="1">
        <f>J41+M41</f>
        <v>83330</v>
      </c>
      <c r="O41" s="1">
        <f>C41-N41</f>
        <v>66670</v>
      </c>
    </row>
    <row r="42" spans="1:15" ht="23.25">
      <c r="A42" s="24">
        <v>2</v>
      </c>
      <c r="B42" s="18" t="s">
        <v>153</v>
      </c>
      <c r="C42" s="13">
        <v>200000</v>
      </c>
      <c r="D42" s="13">
        <v>0</v>
      </c>
      <c r="E42" s="15">
        <f>52450+17000</f>
        <v>69450</v>
      </c>
      <c r="F42" s="13">
        <f t="shared" si="9"/>
        <v>69450</v>
      </c>
      <c r="G42" s="13">
        <v>0</v>
      </c>
      <c r="H42" s="13">
        <v>0</v>
      </c>
      <c r="I42" s="15">
        <f t="shared" si="11"/>
        <v>0</v>
      </c>
      <c r="J42" s="15">
        <f t="shared" si="12"/>
        <v>69450</v>
      </c>
      <c r="K42" s="15">
        <f t="shared" si="13"/>
        <v>130550</v>
      </c>
      <c r="L42" s="47">
        <f t="shared" si="14"/>
        <v>34.725000000000001</v>
      </c>
      <c r="M42" s="1">
        <v>60000</v>
      </c>
      <c r="N42" s="1">
        <f>J42+M42</f>
        <v>129450</v>
      </c>
      <c r="O42" s="1">
        <f t="shared" ref="O42:O44" si="17">C42-N42</f>
        <v>70550</v>
      </c>
    </row>
    <row r="43" spans="1:15" s="6" customFormat="1" ht="49.5" customHeight="1">
      <c r="A43" s="24">
        <v>3</v>
      </c>
      <c r="B43" s="50" t="s">
        <v>154</v>
      </c>
      <c r="C43" s="13">
        <v>21000000</v>
      </c>
      <c r="D43" s="13">
        <f>1596000+1596000+8920026-1182467+5866788-127384</f>
        <v>16668963</v>
      </c>
      <c r="E43" s="15">
        <f>1837312+1425985</f>
        <v>3263297</v>
      </c>
      <c r="F43" s="13">
        <f t="shared" si="9"/>
        <v>19932260</v>
      </c>
      <c r="G43" s="13">
        <f t="shared" si="10"/>
        <v>797290.4</v>
      </c>
      <c r="H43" s="13">
        <f>271626+30710+13965+66950+30550</f>
        <v>413801</v>
      </c>
      <c r="I43" s="15">
        <f t="shared" si="11"/>
        <v>383489.4</v>
      </c>
      <c r="J43" s="15">
        <f t="shared" si="12"/>
        <v>20346061</v>
      </c>
      <c r="K43" s="15">
        <f t="shared" si="13"/>
        <v>653939</v>
      </c>
      <c r="L43" s="47">
        <f t="shared" si="14"/>
        <v>96.886004761904758</v>
      </c>
      <c r="M43" s="6">
        <f>5000000+5000000+400000</f>
        <v>10400000</v>
      </c>
      <c r="N43" s="6">
        <f t="shared" ref="N43:N44" si="18">J43+M43</f>
        <v>30746061</v>
      </c>
      <c r="O43" s="6">
        <f t="shared" si="17"/>
        <v>-9746061</v>
      </c>
    </row>
    <row r="44" spans="1:15" ht="27" customHeight="1">
      <c r="A44" s="24">
        <v>4</v>
      </c>
      <c r="B44" s="18" t="s">
        <v>155</v>
      </c>
      <c r="C44" s="13">
        <v>0</v>
      </c>
      <c r="D44" s="13">
        <v>0</v>
      </c>
      <c r="E44" s="15">
        <v>0</v>
      </c>
      <c r="F44" s="13">
        <f t="shared" si="9"/>
        <v>0</v>
      </c>
      <c r="G44" s="13">
        <f t="shared" si="10"/>
        <v>0</v>
      </c>
      <c r="H44" s="13">
        <v>0</v>
      </c>
      <c r="I44" s="15">
        <f t="shared" si="11"/>
        <v>0</v>
      </c>
      <c r="J44" s="15">
        <f t="shared" si="12"/>
        <v>0</v>
      </c>
      <c r="K44" s="15">
        <f t="shared" si="13"/>
        <v>0</v>
      </c>
      <c r="L44" s="47">
        <v>0</v>
      </c>
      <c r="M44" s="1">
        <v>0</v>
      </c>
      <c r="N44" s="1">
        <f t="shared" si="18"/>
        <v>0</v>
      </c>
      <c r="O44" s="1">
        <f t="shared" si="17"/>
        <v>0</v>
      </c>
    </row>
    <row r="45" spans="1:15" s="14" customFormat="1" ht="22.5" customHeight="1">
      <c r="A45" s="577" t="s">
        <v>0</v>
      </c>
      <c r="B45" s="578"/>
      <c r="C45" s="33">
        <f>C40+C30+C17+C11+C9</f>
        <v>76303000</v>
      </c>
      <c r="D45" s="33">
        <f t="shared" ref="D45:K45" si="19">D40+D30+D17+D11+D9</f>
        <v>41689831</v>
      </c>
      <c r="E45" s="33">
        <f t="shared" si="19"/>
        <v>28685314</v>
      </c>
      <c r="F45" s="33">
        <f t="shared" si="19"/>
        <v>70375145</v>
      </c>
      <c r="G45" s="33">
        <f t="shared" si="19"/>
        <v>2795654.6000000006</v>
      </c>
      <c r="H45" s="33">
        <f t="shared" si="19"/>
        <v>1980720</v>
      </c>
      <c r="I45" s="33">
        <f t="shared" si="19"/>
        <v>814934.60000000009</v>
      </c>
      <c r="J45" s="33">
        <f>J40+J30+J17+J11+J9</f>
        <v>72355865</v>
      </c>
      <c r="K45" s="33">
        <f t="shared" si="19"/>
        <v>3947135</v>
      </c>
      <c r="L45" s="47">
        <f t="shared" ref="L45" si="20">J45/C45*100</f>
        <v>94.827025149731995</v>
      </c>
      <c r="M45" s="14">
        <f t="shared" ref="M45:N45" si="21">SUM(M41:M44)</f>
        <v>10480000</v>
      </c>
      <c r="N45" s="14">
        <f t="shared" si="21"/>
        <v>30958841</v>
      </c>
      <c r="O45" s="14">
        <f>SUM(O41:O44)</f>
        <v>-9608841</v>
      </c>
    </row>
    <row r="47" spans="1:15">
      <c r="C47" s="46"/>
    </row>
    <row r="48" spans="1:15">
      <c r="K48" s="1" t="s">
        <v>499</v>
      </c>
    </row>
    <row r="49" spans="9:12">
      <c r="I49" s="1" t="s">
        <v>162</v>
      </c>
    </row>
    <row r="50" spans="9:12">
      <c r="I50" s="1">
        <v>19</v>
      </c>
      <c r="J50" s="1">
        <v>957084</v>
      </c>
    </row>
    <row r="51" spans="9:12">
      <c r="I51" s="1">
        <v>20</v>
      </c>
      <c r="J51" s="1">
        <v>419813</v>
      </c>
    </row>
    <row r="52" spans="9:12">
      <c r="I52" s="1">
        <v>21</v>
      </c>
      <c r="J52" s="1">
        <v>2401043</v>
      </c>
    </row>
    <row r="53" spans="9:12">
      <c r="I53" s="1">
        <v>22</v>
      </c>
      <c r="J53" s="1">
        <v>5973132</v>
      </c>
    </row>
    <row r="54" spans="9:12">
      <c r="I54" s="1">
        <v>23</v>
      </c>
      <c r="J54" s="1">
        <v>1833343</v>
      </c>
    </row>
    <row r="55" spans="9:12">
      <c r="I55" s="1">
        <v>24</v>
      </c>
      <c r="J55" s="1">
        <v>56275</v>
      </c>
    </row>
    <row r="56" spans="9:12">
      <c r="I56" s="1">
        <v>25</v>
      </c>
      <c r="J56" s="1">
        <v>2700000</v>
      </c>
    </row>
    <row r="57" spans="9:12">
      <c r="I57" s="1">
        <v>26</v>
      </c>
      <c r="J57" s="1">
        <v>1885514</v>
      </c>
    </row>
    <row r="58" spans="9:12">
      <c r="I58" s="1">
        <v>27</v>
      </c>
      <c r="J58" s="1">
        <v>4489854</v>
      </c>
    </row>
    <row r="59" spans="9:12">
      <c r="I59" s="1">
        <v>28</v>
      </c>
      <c r="J59" s="1">
        <v>893390</v>
      </c>
    </row>
    <row r="60" spans="9:12">
      <c r="I60" s="1">
        <v>29</v>
      </c>
      <c r="J60" s="1">
        <v>-4585</v>
      </c>
    </row>
    <row r="61" spans="9:12">
      <c r="I61" s="1" t="s">
        <v>160</v>
      </c>
      <c r="J61" s="1">
        <f>SUM(J49:J60)</f>
        <v>21604863</v>
      </c>
    </row>
    <row r="62" spans="9:12">
      <c r="I62" s="1" t="s">
        <v>168</v>
      </c>
      <c r="J62" s="1">
        <v>50751002</v>
      </c>
    </row>
    <row r="63" spans="9:12">
      <c r="I63" s="1" t="s">
        <v>169</v>
      </c>
      <c r="J63" s="1">
        <f>SUM(J61:J62)</f>
        <v>72355865</v>
      </c>
      <c r="K63" s="1">
        <f>'[1]1204'!$G$18</f>
        <v>72355865</v>
      </c>
      <c r="L63" s="1">
        <f>J63-K63</f>
        <v>0</v>
      </c>
    </row>
    <row r="64" spans="9:12">
      <c r="I64" s="1" t="s">
        <v>170</v>
      </c>
      <c r="J64" s="46">
        <f>J45</f>
        <v>72355865</v>
      </c>
    </row>
    <row r="65" spans="9:10">
      <c r="I65" s="1" t="s">
        <v>171</v>
      </c>
      <c r="J65" s="46">
        <f>J63-J64</f>
        <v>0</v>
      </c>
    </row>
  </sheetData>
  <mergeCells count="16">
    <mergeCell ref="J7:J8"/>
    <mergeCell ref="K7:K8"/>
    <mergeCell ref="L7:L8"/>
    <mergeCell ref="A45:B45"/>
    <mergeCell ref="A6:B6"/>
    <mergeCell ref="A7:A8"/>
    <mergeCell ref="B7:B8"/>
    <mergeCell ref="C7:C8"/>
    <mergeCell ref="D7:F7"/>
    <mergeCell ref="G7:I7"/>
    <mergeCell ref="A1:F1"/>
    <mergeCell ref="A2:L2"/>
    <mergeCell ref="A3:L3"/>
    <mergeCell ref="A5:B5"/>
    <mergeCell ref="D5:F5"/>
    <mergeCell ref="A4:L4"/>
  </mergeCells>
  <pageMargins left="0.2" right="0.2" top="0.3" bottom="0.19" header="0.2" footer="0.19"/>
  <pageSetup paperSize="9" scale="7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135"/>
  <sheetViews>
    <sheetView workbookViewId="0">
      <selection activeCell="B46" sqref="B46"/>
    </sheetView>
  </sheetViews>
  <sheetFormatPr defaultColWidth="9.140625" defaultRowHeight="12.75"/>
  <cols>
    <col min="1" max="1" width="4.140625" style="1" customWidth="1"/>
    <col min="2" max="2" width="54" style="1" customWidth="1"/>
    <col min="3" max="3" width="15" style="1" customWidth="1"/>
    <col min="4" max="4" width="14.28515625" style="11" customWidth="1"/>
    <col min="5" max="5" width="14.140625" style="1" customWidth="1"/>
    <col min="6" max="6" width="14.28515625" style="1" customWidth="1"/>
    <col min="7" max="7" width="12" style="1" customWidth="1"/>
    <col min="8" max="8" width="12.5703125" style="1" customWidth="1"/>
    <col min="9" max="9" width="11.140625" style="1" customWidth="1"/>
    <col min="10" max="10" width="13.85546875" style="1" customWidth="1"/>
    <col min="11" max="11" width="14" style="1" customWidth="1"/>
    <col min="12" max="12" width="10.28515625" style="1" bestFit="1" customWidth="1"/>
    <col min="13" max="13" width="15" style="1" customWidth="1"/>
    <col min="14" max="16384" width="9.140625" style="1"/>
  </cols>
  <sheetData>
    <row r="1" spans="1:12" ht="14.25">
      <c r="A1" s="564"/>
      <c r="B1" s="564"/>
      <c r="C1" s="564"/>
      <c r="D1" s="564"/>
      <c r="E1" s="564"/>
      <c r="F1" s="564"/>
    </row>
    <row r="2" spans="1:12" ht="15">
      <c r="A2" s="571" t="s">
        <v>3</v>
      </c>
      <c r="B2" s="571"/>
      <c r="C2" s="571"/>
      <c r="D2" s="571"/>
      <c r="E2" s="571"/>
      <c r="F2" s="571"/>
      <c r="G2" s="571"/>
      <c r="H2" s="571"/>
      <c r="I2" s="571"/>
      <c r="J2" s="571"/>
      <c r="K2" s="571"/>
      <c r="L2" s="571"/>
    </row>
    <row r="3" spans="1:12" ht="15">
      <c r="A3" s="571" t="s">
        <v>4</v>
      </c>
      <c r="B3" s="571"/>
      <c r="C3" s="571"/>
      <c r="D3" s="571"/>
      <c r="E3" s="571"/>
      <c r="F3" s="571"/>
      <c r="G3" s="571"/>
      <c r="H3" s="571"/>
      <c r="I3" s="571"/>
      <c r="J3" s="571"/>
      <c r="K3" s="571"/>
      <c r="L3" s="571"/>
    </row>
    <row r="4" spans="1:12" ht="20.25">
      <c r="A4" s="581" t="str">
        <f>'337001204'!A4:L4</f>
        <v>२०७६ श्रावण देखि २०७७ असार महिना सम्मको योजनागत खर्चको बिवरण</v>
      </c>
      <c r="B4" s="581"/>
      <c r="C4" s="581"/>
      <c r="D4" s="581"/>
      <c r="E4" s="581"/>
      <c r="F4" s="581"/>
      <c r="G4" s="581"/>
      <c r="H4" s="581"/>
      <c r="I4" s="581"/>
      <c r="J4" s="581"/>
      <c r="K4" s="581"/>
      <c r="L4" s="581"/>
    </row>
    <row r="5" spans="1:12" ht="15">
      <c r="A5" s="572" t="s">
        <v>1</v>
      </c>
      <c r="B5" s="572"/>
      <c r="C5" s="34">
        <v>337030114</v>
      </c>
      <c r="D5" s="573" t="s">
        <v>16</v>
      </c>
      <c r="E5" s="573"/>
      <c r="F5" s="573"/>
      <c r="H5" s="64"/>
      <c r="I5" s="65"/>
      <c r="J5" s="58"/>
      <c r="K5" s="58"/>
      <c r="L5" s="66"/>
    </row>
    <row r="6" spans="1:12" ht="15">
      <c r="A6" s="579" t="s">
        <v>2</v>
      </c>
      <c r="B6" s="579"/>
      <c r="C6" s="57" t="s">
        <v>26</v>
      </c>
      <c r="D6" s="12"/>
      <c r="E6" s="12"/>
      <c r="F6" s="12"/>
      <c r="H6" s="52"/>
      <c r="I6" s="52"/>
      <c r="J6" s="52"/>
      <c r="K6" s="58"/>
      <c r="L6" s="52"/>
    </row>
    <row r="7" spans="1:12" ht="20.25" customHeight="1">
      <c r="A7" s="580" t="s">
        <v>14</v>
      </c>
      <c r="B7" s="580" t="s">
        <v>15</v>
      </c>
      <c r="C7" s="580" t="s">
        <v>6</v>
      </c>
      <c r="D7" s="580" t="s">
        <v>5</v>
      </c>
      <c r="E7" s="580"/>
      <c r="F7" s="580"/>
      <c r="G7" s="575" t="s">
        <v>111</v>
      </c>
      <c r="H7" s="575"/>
      <c r="I7" s="575"/>
      <c r="J7" s="575" t="s">
        <v>12</v>
      </c>
      <c r="K7" s="575" t="s">
        <v>13</v>
      </c>
      <c r="L7" s="576" t="s">
        <v>25</v>
      </c>
    </row>
    <row r="8" spans="1:12" s="11" customFormat="1" ht="15.75" customHeight="1">
      <c r="A8" s="580"/>
      <c r="B8" s="580"/>
      <c r="C8" s="580"/>
      <c r="D8" s="31" t="s">
        <v>7</v>
      </c>
      <c r="E8" s="31" t="s">
        <v>17</v>
      </c>
      <c r="F8" s="31" t="s">
        <v>8</v>
      </c>
      <c r="G8" s="30" t="s">
        <v>9</v>
      </c>
      <c r="H8" s="32" t="s">
        <v>10</v>
      </c>
      <c r="I8" s="32" t="s">
        <v>11</v>
      </c>
      <c r="J8" s="575"/>
      <c r="K8" s="575"/>
      <c r="L8" s="576"/>
    </row>
    <row r="9" spans="1:12" s="6" customFormat="1" ht="22.5" customHeight="1">
      <c r="A9" s="26" t="s">
        <v>27</v>
      </c>
      <c r="B9" s="25" t="s">
        <v>28</v>
      </c>
      <c r="C9" s="16">
        <f>SUM(C10:C13)</f>
        <v>12350000</v>
      </c>
      <c r="D9" s="16">
        <f t="shared" ref="D9:K9" si="0">SUM(D10:D13)</f>
        <v>1799751</v>
      </c>
      <c r="E9" s="16">
        <f t="shared" si="0"/>
        <v>212300</v>
      </c>
      <c r="F9" s="16">
        <f t="shared" si="0"/>
        <v>2012051</v>
      </c>
      <c r="G9" s="16">
        <f t="shared" si="0"/>
        <v>0</v>
      </c>
      <c r="H9" s="16">
        <f t="shared" si="0"/>
        <v>0</v>
      </c>
      <c r="I9" s="16">
        <f t="shared" si="0"/>
        <v>0</v>
      </c>
      <c r="J9" s="16">
        <f t="shared" si="0"/>
        <v>2012051</v>
      </c>
      <c r="K9" s="16">
        <f t="shared" si="0"/>
        <v>10337949</v>
      </c>
      <c r="L9" s="48">
        <f>J9/C9*100</f>
        <v>16.29191093117409</v>
      </c>
    </row>
    <row r="10" spans="1:12" s="6" customFormat="1" ht="22.5" customHeight="1">
      <c r="A10" s="24">
        <v>1</v>
      </c>
      <c r="B10" s="18" t="s">
        <v>29</v>
      </c>
      <c r="C10" s="13">
        <v>450000</v>
      </c>
      <c r="D10" s="13">
        <v>0</v>
      </c>
      <c r="E10" s="15">
        <f>118150+76400+17750</f>
        <v>212300</v>
      </c>
      <c r="F10" s="13">
        <f t="shared" ref="F10:F74" si="1">D10+E10</f>
        <v>212300</v>
      </c>
      <c r="G10" s="13">
        <v>0</v>
      </c>
      <c r="H10" s="13">
        <v>0</v>
      </c>
      <c r="I10" s="15">
        <f>G10-H10</f>
        <v>0</v>
      </c>
      <c r="J10" s="15">
        <f t="shared" ref="J10:J74" si="2">F10+H10</f>
        <v>212300</v>
      </c>
      <c r="K10" s="15">
        <f t="shared" ref="K10:K74" si="3">C10-J10</f>
        <v>237700</v>
      </c>
      <c r="L10" s="47">
        <f t="shared" ref="L10:L74" si="4">J10/C10*100</f>
        <v>47.177777777777777</v>
      </c>
    </row>
    <row r="11" spans="1:12" s="6" customFormat="1" ht="22.5" customHeight="1">
      <c r="A11" s="24">
        <v>2</v>
      </c>
      <c r="B11" s="18" t="s">
        <v>30</v>
      </c>
      <c r="C11" s="13">
        <v>1800000</v>
      </c>
      <c r="D11" s="13">
        <f>241820+475165+449740+316400+316626</f>
        <v>1799751</v>
      </c>
      <c r="E11" s="13"/>
      <c r="F11" s="13">
        <f t="shared" si="1"/>
        <v>1799751</v>
      </c>
      <c r="G11" s="13">
        <v>0</v>
      </c>
      <c r="H11" s="13">
        <v>0</v>
      </c>
      <c r="I11" s="15">
        <f t="shared" ref="I11:I75" si="5">G11-H11</f>
        <v>0</v>
      </c>
      <c r="J11" s="15">
        <f t="shared" si="2"/>
        <v>1799751</v>
      </c>
      <c r="K11" s="15">
        <f t="shared" si="3"/>
        <v>249</v>
      </c>
      <c r="L11" s="47">
        <f t="shared" si="4"/>
        <v>99.986166666666662</v>
      </c>
    </row>
    <row r="12" spans="1:12" s="6" customFormat="1" ht="22.5" customHeight="1">
      <c r="A12" s="24">
        <v>3</v>
      </c>
      <c r="B12" s="18" t="s">
        <v>18</v>
      </c>
      <c r="C12" s="15">
        <v>100000</v>
      </c>
      <c r="D12" s="13">
        <v>0</v>
      </c>
      <c r="E12" s="15">
        <v>0</v>
      </c>
      <c r="F12" s="13">
        <f t="shared" si="1"/>
        <v>0</v>
      </c>
      <c r="G12" s="13">
        <f t="shared" ref="G12:G75" si="6">F12*4%</f>
        <v>0</v>
      </c>
      <c r="H12" s="13">
        <v>0</v>
      </c>
      <c r="I12" s="15">
        <f t="shared" si="5"/>
        <v>0</v>
      </c>
      <c r="J12" s="15">
        <f t="shared" si="2"/>
        <v>0</v>
      </c>
      <c r="K12" s="15">
        <f t="shared" si="3"/>
        <v>100000</v>
      </c>
      <c r="L12" s="47">
        <f t="shared" si="4"/>
        <v>0</v>
      </c>
    </row>
    <row r="13" spans="1:12" s="6" customFormat="1" ht="22.5" customHeight="1">
      <c r="A13" s="24">
        <v>4</v>
      </c>
      <c r="B13" s="18" t="s">
        <v>159</v>
      </c>
      <c r="C13" s="13">
        <v>10000000</v>
      </c>
      <c r="D13" s="13">
        <v>0</v>
      </c>
      <c r="E13" s="15">
        <v>0</v>
      </c>
      <c r="F13" s="13">
        <f t="shared" ref="F13" si="7">D13+E13</f>
        <v>0</v>
      </c>
      <c r="G13" s="13">
        <f t="shared" ref="G13" si="8">F13*4%</f>
        <v>0</v>
      </c>
      <c r="H13" s="13">
        <v>0</v>
      </c>
      <c r="I13" s="15">
        <f t="shared" ref="I13" si="9">G13-H13</f>
        <v>0</v>
      </c>
      <c r="J13" s="15">
        <f t="shared" ref="J13" si="10">F13+H13</f>
        <v>0</v>
      </c>
      <c r="K13" s="15">
        <f t="shared" ref="K13" si="11">C13-J13</f>
        <v>10000000</v>
      </c>
      <c r="L13" s="47">
        <f t="shared" ref="L13" si="12">J13/C13*100</f>
        <v>0</v>
      </c>
    </row>
    <row r="14" spans="1:12" s="6" customFormat="1" ht="22.5" customHeight="1">
      <c r="A14" s="22" t="s">
        <v>31</v>
      </c>
      <c r="B14" s="23" t="s">
        <v>32</v>
      </c>
      <c r="C14" s="16">
        <f>SUM(C15:C25)</f>
        <v>27156000</v>
      </c>
      <c r="D14" s="16">
        <f t="shared" ref="D14:K14" si="13">SUM(D15:D25)</f>
        <v>1434625</v>
      </c>
      <c r="E14" s="16">
        <f t="shared" si="13"/>
        <v>24125039</v>
      </c>
      <c r="F14" s="16">
        <f t="shared" si="13"/>
        <v>25559664</v>
      </c>
      <c r="G14" s="16">
        <f t="shared" si="13"/>
        <v>1022386.5599999999</v>
      </c>
      <c r="H14" s="16">
        <f t="shared" si="13"/>
        <v>615657</v>
      </c>
      <c r="I14" s="16">
        <f t="shared" si="13"/>
        <v>406729.56</v>
      </c>
      <c r="J14" s="16">
        <f t="shared" si="13"/>
        <v>26175321</v>
      </c>
      <c r="K14" s="16">
        <f t="shared" si="13"/>
        <v>980679</v>
      </c>
      <c r="L14" s="48">
        <f t="shared" si="4"/>
        <v>96.388720724701727</v>
      </c>
    </row>
    <row r="15" spans="1:12" s="6" customFormat="1" ht="22.5" customHeight="1">
      <c r="A15" s="24">
        <v>1</v>
      </c>
      <c r="B15" s="18" t="s">
        <v>19</v>
      </c>
      <c r="C15" s="13">
        <v>8500000</v>
      </c>
      <c r="D15" s="13">
        <v>0</v>
      </c>
      <c r="E15" s="15">
        <f>1628847+1315285+1441075+1328698+640386+1164127+604310</f>
        <v>8122728</v>
      </c>
      <c r="F15" s="13">
        <f t="shared" si="1"/>
        <v>8122728</v>
      </c>
      <c r="G15" s="13">
        <f t="shared" si="6"/>
        <v>324909.12</v>
      </c>
      <c r="H15" s="13">
        <f>14700+20695+200000</f>
        <v>235395</v>
      </c>
      <c r="I15" s="15">
        <f t="shared" si="5"/>
        <v>89514.12</v>
      </c>
      <c r="J15" s="15">
        <f t="shared" si="2"/>
        <v>8358123</v>
      </c>
      <c r="K15" s="15">
        <f t="shared" si="3"/>
        <v>141877</v>
      </c>
      <c r="L15" s="47">
        <f t="shared" si="4"/>
        <v>98.330858823529411</v>
      </c>
    </row>
    <row r="16" spans="1:12" s="6" customFormat="1" ht="22.5" customHeight="1">
      <c r="A16" s="24">
        <v>2</v>
      </c>
      <c r="B16" s="18" t="s">
        <v>20</v>
      </c>
      <c r="C16" s="13">
        <v>3000000</v>
      </c>
      <c r="D16" s="13">
        <v>0</v>
      </c>
      <c r="E16" s="15">
        <f>1992775+842303</f>
        <v>2835078</v>
      </c>
      <c r="F16" s="13">
        <f t="shared" si="1"/>
        <v>2835078</v>
      </c>
      <c r="G16" s="13">
        <f t="shared" si="6"/>
        <v>113403.12</v>
      </c>
      <c r="H16" s="13">
        <v>100000</v>
      </c>
      <c r="I16" s="15">
        <f t="shared" si="5"/>
        <v>13403.119999999995</v>
      </c>
      <c r="J16" s="15">
        <f t="shared" si="2"/>
        <v>2935078</v>
      </c>
      <c r="K16" s="15">
        <f t="shared" si="3"/>
        <v>64922</v>
      </c>
      <c r="L16" s="47">
        <f t="shared" si="4"/>
        <v>97.83593333333333</v>
      </c>
    </row>
    <row r="17" spans="1:12" ht="23.25">
      <c r="A17" s="24">
        <v>3</v>
      </c>
      <c r="B17" s="18" t="s">
        <v>33</v>
      </c>
      <c r="C17" s="13">
        <v>1000000</v>
      </c>
      <c r="D17" s="13">
        <v>0</v>
      </c>
      <c r="E17" s="15">
        <f>391898+480447</f>
        <v>872345</v>
      </c>
      <c r="F17" s="13">
        <f t="shared" si="1"/>
        <v>872345</v>
      </c>
      <c r="G17" s="13">
        <f t="shared" si="6"/>
        <v>34893.800000000003</v>
      </c>
      <c r="H17" s="13">
        <v>0</v>
      </c>
      <c r="I17" s="15">
        <f t="shared" si="5"/>
        <v>34893.800000000003</v>
      </c>
      <c r="J17" s="15">
        <f t="shared" si="2"/>
        <v>872345</v>
      </c>
      <c r="K17" s="15">
        <f t="shared" si="3"/>
        <v>127655</v>
      </c>
      <c r="L17" s="47">
        <f t="shared" si="4"/>
        <v>87.234499999999997</v>
      </c>
    </row>
    <row r="18" spans="1:12" ht="23.25">
      <c r="A18" s="24">
        <v>4</v>
      </c>
      <c r="B18" s="18" t="s">
        <v>34</v>
      </c>
      <c r="C18" s="13">
        <v>1000000</v>
      </c>
      <c r="D18" s="13">
        <v>0</v>
      </c>
      <c r="E18" s="15">
        <f>522813+421653</f>
        <v>944466</v>
      </c>
      <c r="F18" s="13">
        <f t="shared" si="1"/>
        <v>944466</v>
      </c>
      <c r="G18" s="13">
        <f t="shared" si="6"/>
        <v>37778.639999999999</v>
      </c>
      <c r="H18" s="13">
        <v>13245</v>
      </c>
      <c r="I18" s="15">
        <f t="shared" si="5"/>
        <v>24533.64</v>
      </c>
      <c r="J18" s="15">
        <f t="shared" si="2"/>
        <v>957711</v>
      </c>
      <c r="K18" s="15">
        <f t="shared" si="3"/>
        <v>42289</v>
      </c>
      <c r="L18" s="47">
        <f t="shared" si="4"/>
        <v>95.771100000000004</v>
      </c>
    </row>
    <row r="19" spans="1:12" ht="27" customHeight="1">
      <c r="A19" s="24">
        <v>5</v>
      </c>
      <c r="B19" s="18" t="s">
        <v>35</v>
      </c>
      <c r="C19" s="13">
        <v>1000000</v>
      </c>
      <c r="D19" s="13">
        <v>0</v>
      </c>
      <c r="E19" s="15">
        <v>957934</v>
      </c>
      <c r="F19" s="13">
        <f t="shared" si="1"/>
        <v>957934</v>
      </c>
      <c r="G19" s="13">
        <f t="shared" si="6"/>
        <v>38317.360000000001</v>
      </c>
      <c r="H19" s="13">
        <v>0</v>
      </c>
      <c r="I19" s="15">
        <f t="shared" si="5"/>
        <v>38317.360000000001</v>
      </c>
      <c r="J19" s="15">
        <f t="shared" si="2"/>
        <v>957934</v>
      </c>
      <c r="K19" s="15">
        <f t="shared" si="3"/>
        <v>42066</v>
      </c>
      <c r="L19" s="47">
        <f t="shared" si="4"/>
        <v>95.793399999999991</v>
      </c>
    </row>
    <row r="20" spans="1:12" ht="27" customHeight="1">
      <c r="A20" s="24">
        <v>6</v>
      </c>
      <c r="B20" s="18" t="s">
        <v>36</v>
      </c>
      <c r="C20" s="13">
        <v>1000000</v>
      </c>
      <c r="D20" s="13">
        <v>0</v>
      </c>
      <c r="E20" s="15">
        <f>802983+157750</f>
        <v>960733</v>
      </c>
      <c r="F20" s="13">
        <f t="shared" si="1"/>
        <v>960733</v>
      </c>
      <c r="G20" s="13">
        <f t="shared" si="6"/>
        <v>38429.32</v>
      </c>
      <c r="H20" s="13">
        <f>28887</f>
        <v>28887</v>
      </c>
      <c r="I20" s="15">
        <f t="shared" si="5"/>
        <v>9542.32</v>
      </c>
      <c r="J20" s="15">
        <f t="shared" si="2"/>
        <v>989620</v>
      </c>
      <c r="K20" s="15">
        <f t="shared" si="3"/>
        <v>10380</v>
      </c>
      <c r="L20" s="47">
        <f t="shared" si="4"/>
        <v>98.962000000000003</v>
      </c>
    </row>
    <row r="21" spans="1:12" ht="46.5">
      <c r="A21" s="24">
        <v>7</v>
      </c>
      <c r="B21" s="18" t="s">
        <v>37</v>
      </c>
      <c r="C21" s="13">
        <v>3000000</v>
      </c>
      <c r="D21" s="13">
        <v>0</v>
      </c>
      <c r="E21" s="15">
        <v>2878700</v>
      </c>
      <c r="F21" s="13">
        <f t="shared" si="1"/>
        <v>2878700</v>
      </c>
      <c r="G21" s="13">
        <f t="shared" si="6"/>
        <v>115148</v>
      </c>
      <c r="H21" s="13">
        <v>100000</v>
      </c>
      <c r="I21" s="15">
        <f t="shared" si="5"/>
        <v>15148</v>
      </c>
      <c r="J21" s="15">
        <f t="shared" si="2"/>
        <v>2978700</v>
      </c>
      <c r="K21" s="15">
        <f t="shared" si="3"/>
        <v>21300</v>
      </c>
      <c r="L21" s="47">
        <f t="shared" si="4"/>
        <v>99.29</v>
      </c>
    </row>
    <row r="22" spans="1:12" ht="25.5" customHeight="1">
      <c r="A22" s="24">
        <v>8</v>
      </c>
      <c r="B22" s="18" t="s">
        <v>38</v>
      </c>
      <c r="C22" s="13">
        <v>1000000</v>
      </c>
      <c r="D22" s="13">
        <v>0</v>
      </c>
      <c r="E22" s="15">
        <v>961418</v>
      </c>
      <c r="F22" s="13">
        <f t="shared" si="1"/>
        <v>961418</v>
      </c>
      <c r="G22" s="13">
        <f t="shared" si="6"/>
        <v>38456.720000000001</v>
      </c>
      <c r="H22" s="13">
        <v>34800</v>
      </c>
      <c r="I22" s="15">
        <f t="shared" si="5"/>
        <v>3656.7200000000012</v>
      </c>
      <c r="J22" s="15">
        <f t="shared" si="2"/>
        <v>996218</v>
      </c>
      <c r="K22" s="15">
        <f t="shared" si="3"/>
        <v>3782</v>
      </c>
      <c r="L22" s="47">
        <f t="shared" si="4"/>
        <v>99.621800000000007</v>
      </c>
    </row>
    <row r="23" spans="1:12" ht="25.5" customHeight="1">
      <c r="A23" s="24">
        <v>9</v>
      </c>
      <c r="B23" s="18" t="s">
        <v>39</v>
      </c>
      <c r="C23" s="13">
        <v>2000000</v>
      </c>
      <c r="D23" s="13">
        <v>0</v>
      </c>
      <c r="E23" s="15">
        <f>1403830+505634</f>
        <v>1909464</v>
      </c>
      <c r="F23" s="13">
        <f t="shared" si="1"/>
        <v>1909464</v>
      </c>
      <c r="G23" s="13">
        <f t="shared" si="6"/>
        <v>76378.559999999998</v>
      </c>
      <c r="H23" s="13">
        <v>5000</v>
      </c>
      <c r="I23" s="15">
        <f t="shared" si="5"/>
        <v>71378.559999999998</v>
      </c>
      <c r="J23" s="15">
        <f t="shared" si="2"/>
        <v>1914464</v>
      </c>
      <c r="K23" s="15">
        <f t="shared" si="3"/>
        <v>85536</v>
      </c>
      <c r="L23" s="47">
        <f t="shared" si="4"/>
        <v>95.723199999999991</v>
      </c>
    </row>
    <row r="24" spans="1:12" ht="25.5" customHeight="1">
      <c r="A24" s="24">
        <v>10</v>
      </c>
      <c r="B24" s="18" t="s">
        <v>40</v>
      </c>
      <c r="C24" s="13">
        <v>4856000</v>
      </c>
      <c r="D24" s="13">
        <f>475201+477815</f>
        <v>953016</v>
      </c>
      <c r="E24" s="15">
        <f>402123+672677+285541+822349+1499483</f>
        <v>3682173</v>
      </c>
      <c r="F24" s="13">
        <f t="shared" si="1"/>
        <v>4635189</v>
      </c>
      <c r="G24" s="13">
        <f t="shared" si="6"/>
        <v>185407.56</v>
      </c>
      <c r="H24" s="13">
        <v>98330</v>
      </c>
      <c r="I24" s="15">
        <f t="shared" si="5"/>
        <v>87077.56</v>
      </c>
      <c r="J24" s="15">
        <f t="shared" si="2"/>
        <v>4733519</v>
      </c>
      <c r="K24" s="15">
        <f t="shared" si="3"/>
        <v>122481</v>
      </c>
      <c r="L24" s="47">
        <f t="shared" si="4"/>
        <v>97.477738879736407</v>
      </c>
    </row>
    <row r="25" spans="1:12" ht="23.25">
      <c r="A25" s="24">
        <v>11</v>
      </c>
      <c r="B25" s="18" t="s">
        <v>41</v>
      </c>
      <c r="C25" s="13">
        <v>800000</v>
      </c>
      <c r="D25" s="13">
        <f>481609</f>
        <v>481609</v>
      </c>
      <c r="E25" s="15">
        <v>0</v>
      </c>
      <c r="F25" s="13">
        <f t="shared" si="1"/>
        <v>481609</v>
      </c>
      <c r="G25" s="13">
        <f t="shared" si="6"/>
        <v>19264.36</v>
      </c>
      <c r="H25" s="13">
        <v>0</v>
      </c>
      <c r="I25" s="15">
        <f t="shared" si="5"/>
        <v>19264.36</v>
      </c>
      <c r="J25" s="15">
        <f t="shared" si="2"/>
        <v>481609</v>
      </c>
      <c r="K25" s="15">
        <f t="shared" si="3"/>
        <v>318391</v>
      </c>
      <c r="L25" s="47">
        <f t="shared" si="4"/>
        <v>60.201124999999998</v>
      </c>
    </row>
    <row r="26" spans="1:12" ht="19.5">
      <c r="A26" s="26" t="s">
        <v>42</v>
      </c>
      <c r="B26" s="25" t="s">
        <v>43</v>
      </c>
      <c r="C26" s="16">
        <f>SUM(C27:C94)</f>
        <v>58445000</v>
      </c>
      <c r="D26" s="16">
        <f t="shared" ref="D26:K26" si="14">SUM(D27:D94)</f>
        <v>32968213</v>
      </c>
      <c r="E26" s="16">
        <f t="shared" si="14"/>
        <v>17884111</v>
      </c>
      <c r="F26" s="16">
        <f t="shared" si="14"/>
        <v>50852324</v>
      </c>
      <c r="G26" s="16">
        <f t="shared" si="14"/>
        <v>2034092.9600000004</v>
      </c>
      <c r="H26" s="16">
        <f t="shared" si="14"/>
        <v>1100566</v>
      </c>
      <c r="I26" s="16">
        <f t="shared" si="14"/>
        <v>933526.96000000008</v>
      </c>
      <c r="J26" s="16">
        <f t="shared" si="14"/>
        <v>51952890</v>
      </c>
      <c r="K26" s="16">
        <f t="shared" si="14"/>
        <v>6492110</v>
      </c>
      <c r="L26" s="48">
        <f t="shared" si="4"/>
        <v>88.891932586192141</v>
      </c>
    </row>
    <row r="27" spans="1:12" s="52" customFormat="1" ht="23.25">
      <c r="A27" s="51">
        <v>1</v>
      </c>
      <c r="B27" s="18" t="s">
        <v>44</v>
      </c>
      <c r="C27" s="15">
        <v>1000</v>
      </c>
      <c r="D27" s="15">
        <v>0</v>
      </c>
      <c r="E27" s="15">
        <v>0</v>
      </c>
      <c r="F27" s="15">
        <f t="shared" si="1"/>
        <v>0</v>
      </c>
      <c r="G27" s="15">
        <f t="shared" si="6"/>
        <v>0</v>
      </c>
      <c r="H27" s="15">
        <v>0</v>
      </c>
      <c r="I27" s="15">
        <f t="shared" si="5"/>
        <v>0</v>
      </c>
      <c r="J27" s="15">
        <f t="shared" si="2"/>
        <v>0</v>
      </c>
      <c r="K27" s="15">
        <f t="shared" si="3"/>
        <v>1000</v>
      </c>
      <c r="L27" s="49">
        <f t="shared" si="4"/>
        <v>0</v>
      </c>
    </row>
    <row r="28" spans="1:12" ht="23.25">
      <c r="A28" s="24">
        <v>2</v>
      </c>
      <c r="B28" s="18" t="s">
        <v>45</v>
      </c>
      <c r="C28" s="13">
        <v>1000000</v>
      </c>
      <c r="D28" s="13">
        <v>0</v>
      </c>
      <c r="E28" s="15">
        <v>0</v>
      </c>
      <c r="F28" s="13">
        <f t="shared" si="1"/>
        <v>0</v>
      </c>
      <c r="G28" s="13">
        <f t="shared" si="6"/>
        <v>0</v>
      </c>
      <c r="H28" s="13">
        <v>0</v>
      </c>
      <c r="I28" s="15">
        <f t="shared" si="5"/>
        <v>0</v>
      </c>
      <c r="J28" s="15">
        <f t="shared" si="2"/>
        <v>0</v>
      </c>
      <c r="K28" s="15">
        <f t="shared" si="3"/>
        <v>1000000</v>
      </c>
      <c r="L28" s="47">
        <f t="shared" si="4"/>
        <v>0</v>
      </c>
    </row>
    <row r="29" spans="1:12" ht="23.25">
      <c r="A29" s="24">
        <v>3</v>
      </c>
      <c r="B29" s="18" t="s">
        <v>46</v>
      </c>
      <c r="C29" s="13">
        <v>35100000</v>
      </c>
      <c r="D29" s="13">
        <f>4301232+15685803+10743760</f>
        <v>30730795</v>
      </c>
      <c r="E29" s="15">
        <v>998351</v>
      </c>
      <c r="F29" s="13">
        <f t="shared" si="1"/>
        <v>31729146</v>
      </c>
      <c r="G29" s="13">
        <f t="shared" si="6"/>
        <v>1269165.8400000001</v>
      </c>
      <c r="H29" s="13">
        <f>210241+315424+100100+50980+26600+130000+61100</f>
        <v>894445</v>
      </c>
      <c r="I29" s="15">
        <f t="shared" si="5"/>
        <v>374720.84000000008</v>
      </c>
      <c r="J29" s="15">
        <f t="shared" si="2"/>
        <v>32623591</v>
      </c>
      <c r="K29" s="15">
        <f t="shared" si="3"/>
        <v>2476409</v>
      </c>
      <c r="L29" s="47">
        <f t="shared" si="4"/>
        <v>92.944703703703695</v>
      </c>
    </row>
    <row r="30" spans="1:12" ht="23.25">
      <c r="A30" s="24">
        <v>4</v>
      </c>
      <c r="B30" s="18" t="s">
        <v>47</v>
      </c>
      <c r="C30" s="13">
        <v>1000</v>
      </c>
      <c r="D30" s="13">
        <v>0</v>
      </c>
      <c r="E30" s="15">
        <v>0</v>
      </c>
      <c r="F30" s="13">
        <f t="shared" si="1"/>
        <v>0</v>
      </c>
      <c r="G30" s="13">
        <f t="shared" si="6"/>
        <v>0</v>
      </c>
      <c r="H30" s="13">
        <v>0</v>
      </c>
      <c r="I30" s="15">
        <f t="shared" si="5"/>
        <v>0</v>
      </c>
      <c r="J30" s="15">
        <f t="shared" si="2"/>
        <v>0</v>
      </c>
      <c r="K30" s="15">
        <f t="shared" si="3"/>
        <v>1000</v>
      </c>
      <c r="L30" s="47">
        <f t="shared" si="4"/>
        <v>0</v>
      </c>
    </row>
    <row r="31" spans="1:12" s="52" customFormat="1" ht="21.75" customHeight="1">
      <c r="A31" s="51">
        <v>5</v>
      </c>
      <c r="B31" s="18" t="s">
        <v>48</v>
      </c>
      <c r="C31" s="15">
        <v>2354000</v>
      </c>
      <c r="D31" s="15">
        <f>2261507-24089</f>
        <v>2237418</v>
      </c>
      <c r="E31" s="15">
        <v>0</v>
      </c>
      <c r="F31" s="15">
        <f t="shared" si="1"/>
        <v>2237418</v>
      </c>
      <c r="G31" s="15">
        <f t="shared" si="6"/>
        <v>89496.72</v>
      </c>
      <c r="H31" s="15">
        <f>90000</f>
        <v>90000</v>
      </c>
      <c r="I31" s="15">
        <f t="shared" si="5"/>
        <v>-503.27999999999884</v>
      </c>
      <c r="J31" s="15">
        <f t="shared" si="2"/>
        <v>2327418</v>
      </c>
      <c r="K31" s="15">
        <f t="shared" si="3"/>
        <v>26582</v>
      </c>
      <c r="L31" s="49">
        <f t="shared" si="4"/>
        <v>98.870773152081554</v>
      </c>
    </row>
    <row r="32" spans="1:12" s="52" customFormat="1" ht="23.25">
      <c r="A32" s="51">
        <v>6</v>
      </c>
      <c r="B32" s="18" t="s">
        <v>49</v>
      </c>
      <c r="C32" s="15">
        <v>1080000</v>
      </c>
      <c r="D32" s="15">
        <v>0</v>
      </c>
      <c r="E32" s="15">
        <v>1065734</v>
      </c>
      <c r="F32" s="15">
        <f t="shared" si="1"/>
        <v>1065734</v>
      </c>
      <c r="G32" s="15">
        <f t="shared" si="6"/>
        <v>42629.36</v>
      </c>
      <c r="H32" s="15">
        <v>0</v>
      </c>
      <c r="I32" s="15">
        <f t="shared" si="5"/>
        <v>42629.36</v>
      </c>
      <c r="J32" s="15">
        <f t="shared" si="2"/>
        <v>1065734</v>
      </c>
      <c r="K32" s="15">
        <f t="shared" si="3"/>
        <v>14266</v>
      </c>
      <c r="L32" s="49">
        <f t="shared" si="4"/>
        <v>98.679074074074066</v>
      </c>
    </row>
    <row r="33" spans="1:12" ht="27.75" customHeight="1">
      <c r="A33" s="24">
        <v>7</v>
      </c>
      <c r="B33" s="18" t="s">
        <v>50</v>
      </c>
      <c r="C33" s="13">
        <v>1000</v>
      </c>
      <c r="D33" s="13">
        <v>0</v>
      </c>
      <c r="E33" s="15">
        <v>0</v>
      </c>
      <c r="F33" s="13">
        <f t="shared" si="1"/>
        <v>0</v>
      </c>
      <c r="G33" s="13">
        <f t="shared" si="6"/>
        <v>0</v>
      </c>
      <c r="H33" s="13">
        <v>0</v>
      </c>
      <c r="I33" s="15">
        <f t="shared" si="5"/>
        <v>0</v>
      </c>
      <c r="J33" s="15">
        <f t="shared" si="2"/>
        <v>0</v>
      </c>
      <c r="K33" s="15">
        <f t="shared" si="3"/>
        <v>1000</v>
      </c>
      <c r="L33" s="47">
        <f t="shared" si="4"/>
        <v>0</v>
      </c>
    </row>
    <row r="34" spans="1:12" ht="23.25">
      <c r="A34" s="24">
        <v>8</v>
      </c>
      <c r="B34" s="18" t="s">
        <v>51</v>
      </c>
      <c r="C34" s="13">
        <v>1000</v>
      </c>
      <c r="D34" s="13">
        <v>0</v>
      </c>
      <c r="E34" s="15">
        <v>0</v>
      </c>
      <c r="F34" s="13">
        <f t="shared" si="1"/>
        <v>0</v>
      </c>
      <c r="G34" s="13">
        <f t="shared" si="6"/>
        <v>0</v>
      </c>
      <c r="H34" s="13">
        <v>0</v>
      </c>
      <c r="I34" s="15">
        <f t="shared" si="5"/>
        <v>0</v>
      </c>
      <c r="J34" s="15">
        <f t="shared" si="2"/>
        <v>0</v>
      </c>
      <c r="K34" s="15">
        <f t="shared" si="3"/>
        <v>1000</v>
      </c>
      <c r="L34" s="47">
        <f t="shared" si="4"/>
        <v>0</v>
      </c>
    </row>
    <row r="35" spans="1:12" ht="25.5" customHeight="1">
      <c r="A35" s="24">
        <v>9</v>
      </c>
      <c r="B35" s="18" t="s">
        <v>52</v>
      </c>
      <c r="C35" s="13">
        <v>1000</v>
      </c>
      <c r="D35" s="13">
        <v>0</v>
      </c>
      <c r="E35" s="15">
        <v>0</v>
      </c>
      <c r="F35" s="13">
        <f t="shared" si="1"/>
        <v>0</v>
      </c>
      <c r="G35" s="13">
        <f t="shared" si="6"/>
        <v>0</v>
      </c>
      <c r="H35" s="13">
        <v>0</v>
      </c>
      <c r="I35" s="15">
        <f t="shared" si="5"/>
        <v>0</v>
      </c>
      <c r="J35" s="15">
        <f t="shared" si="2"/>
        <v>0</v>
      </c>
      <c r="K35" s="15">
        <f t="shared" si="3"/>
        <v>1000</v>
      </c>
      <c r="L35" s="47">
        <f t="shared" si="4"/>
        <v>0</v>
      </c>
    </row>
    <row r="36" spans="1:12" ht="23.25">
      <c r="A36" s="24">
        <v>10</v>
      </c>
      <c r="B36" s="18" t="s">
        <v>53</v>
      </c>
      <c r="C36" s="13">
        <v>1000</v>
      </c>
      <c r="D36" s="13">
        <v>0</v>
      </c>
      <c r="E36" s="15">
        <v>0</v>
      </c>
      <c r="F36" s="13">
        <f t="shared" si="1"/>
        <v>0</v>
      </c>
      <c r="G36" s="13">
        <f t="shared" si="6"/>
        <v>0</v>
      </c>
      <c r="H36" s="13">
        <v>0</v>
      </c>
      <c r="I36" s="15">
        <f t="shared" si="5"/>
        <v>0</v>
      </c>
      <c r="J36" s="15">
        <f t="shared" si="2"/>
        <v>0</v>
      </c>
      <c r="K36" s="15">
        <f t="shared" si="3"/>
        <v>1000</v>
      </c>
      <c r="L36" s="47">
        <f t="shared" si="4"/>
        <v>0</v>
      </c>
    </row>
    <row r="37" spans="1:12" ht="23.25">
      <c r="A37" s="24">
        <v>11</v>
      </c>
      <c r="B37" s="18" t="s">
        <v>54</v>
      </c>
      <c r="C37" s="13">
        <v>550000</v>
      </c>
      <c r="D37" s="13">
        <v>0</v>
      </c>
      <c r="E37" s="15">
        <v>527857</v>
      </c>
      <c r="F37" s="13">
        <f t="shared" si="1"/>
        <v>527857</v>
      </c>
      <c r="G37" s="13">
        <f t="shared" si="6"/>
        <v>21114.28</v>
      </c>
      <c r="H37" s="13">
        <v>0</v>
      </c>
      <c r="I37" s="15">
        <f t="shared" si="5"/>
        <v>21114.28</v>
      </c>
      <c r="J37" s="15">
        <f t="shared" si="2"/>
        <v>527857</v>
      </c>
      <c r="K37" s="15">
        <f t="shared" si="3"/>
        <v>22143</v>
      </c>
      <c r="L37" s="47">
        <f t="shared" si="4"/>
        <v>95.974000000000004</v>
      </c>
    </row>
    <row r="38" spans="1:12" s="52" customFormat="1" ht="23.25">
      <c r="A38" s="51">
        <v>12</v>
      </c>
      <c r="B38" s="18" t="s">
        <v>55</v>
      </c>
      <c r="C38" s="15">
        <v>3000000</v>
      </c>
      <c r="D38" s="15">
        <v>0</v>
      </c>
      <c r="E38" s="15">
        <f>595770+1516532+887698</f>
        <v>3000000</v>
      </c>
      <c r="F38" s="15">
        <f>D38+E38</f>
        <v>3000000</v>
      </c>
      <c r="G38" s="15">
        <f t="shared" si="6"/>
        <v>120000</v>
      </c>
      <c r="H38" s="15">
        <v>0</v>
      </c>
      <c r="I38" s="15">
        <f t="shared" si="5"/>
        <v>120000</v>
      </c>
      <c r="J38" s="15">
        <f t="shared" si="2"/>
        <v>3000000</v>
      </c>
      <c r="K38" s="15">
        <f t="shared" si="3"/>
        <v>0</v>
      </c>
      <c r="L38" s="49">
        <f t="shared" si="4"/>
        <v>100</v>
      </c>
    </row>
    <row r="39" spans="1:12" ht="23.25">
      <c r="A39" s="24">
        <v>13</v>
      </c>
      <c r="B39" s="18" t="s">
        <v>56</v>
      </c>
      <c r="C39" s="13">
        <v>6000000</v>
      </c>
      <c r="D39" s="13">
        <v>0</v>
      </c>
      <c r="E39" s="15">
        <f>3334286+2425771</f>
        <v>5760057</v>
      </c>
      <c r="F39" s="13">
        <f t="shared" si="1"/>
        <v>5760057</v>
      </c>
      <c r="G39" s="13">
        <f t="shared" si="6"/>
        <v>230402.28</v>
      </c>
      <c r="H39" s="13">
        <f>18050+15000</f>
        <v>33050</v>
      </c>
      <c r="I39" s="15">
        <f t="shared" si="5"/>
        <v>197352.28</v>
      </c>
      <c r="J39" s="15">
        <f t="shared" si="2"/>
        <v>5793107</v>
      </c>
      <c r="K39" s="15">
        <f t="shared" si="3"/>
        <v>206893</v>
      </c>
      <c r="L39" s="47">
        <f t="shared" si="4"/>
        <v>96.551783333333333</v>
      </c>
    </row>
    <row r="40" spans="1:12" ht="23.25">
      <c r="A40" s="24">
        <v>14</v>
      </c>
      <c r="B40" s="18" t="s">
        <v>57</v>
      </c>
      <c r="C40" s="13">
        <v>500000</v>
      </c>
      <c r="D40" s="13">
        <v>0</v>
      </c>
      <c r="E40" s="15">
        <v>0</v>
      </c>
      <c r="F40" s="13">
        <f t="shared" si="1"/>
        <v>0</v>
      </c>
      <c r="G40" s="13">
        <f t="shared" si="6"/>
        <v>0</v>
      </c>
      <c r="H40" s="13">
        <v>0</v>
      </c>
      <c r="I40" s="15">
        <f t="shared" si="5"/>
        <v>0</v>
      </c>
      <c r="J40" s="15">
        <f t="shared" si="2"/>
        <v>0</v>
      </c>
      <c r="K40" s="15">
        <f t="shared" si="3"/>
        <v>500000</v>
      </c>
      <c r="L40" s="47">
        <f t="shared" si="4"/>
        <v>0</v>
      </c>
    </row>
    <row r="41" spans="1:12" ht="23.25">
      <c r="A41" s="24">
        <v>15</v>
      </c>
      <c r="B41" s="18" t="s">
        <v>58</v>
      </c>
      <c r="C41" s="13">
        <v>1000000</v>
      </c>
      <c r="D41" s="13">
        <v>0</v>
      </c>
      <c r="E41" s="15">
        <v>0</v>
      </c>
      <c r="F41" s="13">
        <f t="shared" si="1"/>
        <v>0</v>
      </c>
      <c r="G41" s="13">
        <f t="shared" si="6"/>
        <v>0</v>
      </c>
      <c r="H41" s="13">
        <v>0</v>
      </c>
      <c r="I41" s="15">
        <f t="shared" si="5"/>
        <v>0</v>
      </c>
      <c r="J41" s="15">
        <f t="shared" si="2"/>
        <v>0</v>
      </c>
      <c r="K41" s="15">
        <f t="shared" si="3"/>
        <v>1000000</v>
      </c>
      <c r="L41" s="47">
        <f t="shared" si="4"/>
        <v>0</v>
      </c>
    </row>
    <row r="42" spans="1:12" ht="22.5" customHeight="1">
      <c r="A42" s="24">
        <v>16</v>
      </c>
      <c r="B42" s="18" t="s">
        <v>59</v>
      </c>
      <c r="C42" s="13">
        <v>1000</v>
      </c>
      <c r="D42" s="13">
        <v>0</v>
      </c>
      <c r="E42" s="15">
        <v>0</v>
      </c>
      <c r="F42" s="13">
        <f t="shared" si="1"/>
        <v>0</v>
      </c>
      <c r="G42" s="13">
        <f t="shared" si="6"/>
        <v>0</v>
      </c>
      <c r="H42" s="13">
        <v>0</v>
      </c>
      <c r="I42" s="15">
        <f t="shared" si="5"/>
        <v>0</v>
      </c>
      <c r="J42" s="15">
        <f t="shared" si="2"/>
        <v>0</v>
      </c>
      <c r="K42" s="15">
        <f t="shared" si="3"/>
        <v>1000</v>
      </c>
      <c r="L42" s="47">
        <f t="shared" si="4"/>
        <v>0</v>
      </c>
    </row>
    <row r="43" spans="1:12" ht="46.5">
      <c r="A43" s="24">
        <v>17</v>
      </c>
      <c r="B43" s="18" t="s">
        <v>60</v>
      </c>
      <c r="C43" s="13">
        <v>1000</v>
      </c>
      <c r="D43" s="13">
        <v>0</v>
      </c>
      <c r="E43" s="15">
        <v>0</v>
      </c>
      <c r="F43" s="13">
        <f t="shared" si="1"/>
        <v>0</v>
      </c>
      <c r="G43" s="13">
        <f t="shared" si="6"/>
        <v>0</v>
      </c>
      <c r="H43" s="13">
        <v>0</v>
      </c>
      <c r="I43" s="15">
        <f t="shared" si="5"/>
        <v>0</v>
      </c>
      <c r="J43" s="15">
        <f t="shared" si="2"/>
        <v>0</v>
      </c>
      <c r="K43" s="15">
        <f t="shared" si="3"/>
        <v>1000</v>
      </c>
      <c r="L43" s="47">
        <f t="shared" si="4"/>
        <v>0</v>
      </c>
    </row>
    <row r="44" spans="1:12" ht="25.5" customHeight="1">
      <c r="A44" s="24">
        <v>18</v>
      </c>
      <c r="B44" s="18" t="s">
        <v>61</v>
      </c>
      <c r="C44" s="13">
        <v>1000</v>
      </c>
      <c r="D44" s="13">
        <v>0</v>
      </c>
      <c r="E44" s="15">
        <v>0</v>
      </c>
      <c r="F44" s="13">
        <f t="shared" si="1"/>
        <v>0</v>
      </c>
      <c r="G44" s="13">
        <f t="shared" si="6"/>
        <v>0</v>
      </c>
      <c r="H44" s="13">
        <v>0</v>
      </c>
      <c r="I44" s="15">
        <f t="shared" si="5"/>
        <v>0</v>
      </c>
      <c r="J44" s="15">
        <f t="shared" si="2"/>
        <v>0</v>
      </c>
      <c r="K44" s="15">
        <f t="shared" si="3"/>
        <v>1000</v>
      </c>
      <c r="L44" s="47">
        <f t="shared" si="4"/>
        <v>0</v>
      </c>
    </row>
    <row r="45" spans="1:12" ht="23.25">
      <c r="A45" s="24">
        <v>19</v>
      </c>
      <c r="B45" s="18" t="s">
        <v>62</v>
      </c>
      <c r="C45" s="13">
        <v>1000</v>
      </c>
      <c r="D45" s="13">
        <v>0</v>
      </c>
      <c r="E45" s="15">
        <v>0</v>
      </c>
      <c r="F45" s="13">
        <f t="shared" si="1"/>
        <v>0</v>
      </c>
      <c r="G45" s="13">
        <f t="shared" si="6"/>
        <v>0</v>
      </c>
      <c r="H45" s="13">
        <v>0</v>
      </c>
      <c r="I45" s="15">
        <f t="shared" si="5"/>
        <v>0</v>
      </c>
      <c r="J45" s="15">
        <f t="shared" si="2"/>
        <v>0</v>
      </c>
      <c r="K45" s="15">
        <f t="shared" si="3"/>
        <v>1000</v>
      </c>
      <c r="L45" s="47">
        <f t="shared" si="4"/>
        <v>0</v>
      </c>
    </row>
    <row r="46" spans="1:12" ht="23.25">
      <c r="A46" s="24">
        <v>20</v>
      </c>
      <c r="B46" s="18" t="s">
        <v>63</v>
      </c>
      <c r="C46" s="13">
        <v>1000</v>
      </c>
      <c r="D46" s="13">
        <v>0</v>
      </c>
      <c r="E46" s="15">
        <v>0</v>
      </c>
      <c r="F46" s="13">
        <f t="shared" si="1"/>
        <v>0</v>
      </c>
      <c r="G46" s="13">
        <f t="shared" si="6"/>
        <v>0</v>
      </c>
      <c r="H46" s="13">
        <v>0</v>
      </c>
      <c r="I46" s="15">
        <f t="shared" si="5"/>
        <v>0</v>
      </c>
      <c r="J46" s="15">
        <f t="shared" si="2"/>
        <v>0</v>
      </c>
      <c r="K46" s="15">
        <f t="shared" si="3"/>
        <v>1000</v>
      </c>
      <c r="L46" s="47">
        <f t="shared" si="4"/>
        <v>0</v>
      </c>
    </row>
    <row r="47" spans="1:12" ht="23.25">
      <c r="A47" s="24">
        <v>21</v>
      </c>
      <c r="B47" s="18" t="s">
        <v>64</v>
      </c>
      <c r="C47" s="13">
        <v>1000</v>
      </c>
      <c r="D47" s="13">
        <v>0</v>
      </c>
      <c r="E47" s="15">
        <v>0</v>
      </c>
      <c r="F47" s="13">
        <f t="shared" si="1"/>
        <v>0</v>
      </c>
      <c r="G47" s="13">
        <f t="shared" si="6"/>
        <v>0</v>
      </c>
      <c r="H47" s="13">
        <v>0</v>
      </c>
      <c r="I47" s="15">
        <f t="shared" si="5"/>
        <v>0</v>
      </c>
      <c r="J47" s="15">
        <f t="shared" si="2"/>
        <v>0</v>
      </c>
      <c r="K47" s="15">
        <f t="shared" si="3"/>
        <v>1000</v>
      </c>
      <c r="L47" s="47">
        <f t="shared" si="4"/>
        <v>0</v>
      </c>
    </row>
    <row r="48" spans="1:12" ht="23.25">
      <c r="A48" s="24">
        <v>22</v>
      </c>
      <c r="B48" s="18" t="s">
        <v>65</v>
      </c>
      <c r="C48" s="13">
        <v>1000</v>
      </c>
      <c r="D48" s="13">
        <v>0</v>
      </c>
      <c r="E48" s="15">
        <v>0</v>
      </c>
      <c r="F48" s="13">
        <f t="shared" si="1"/>
        <v>0</v>
      </c>
      <c r="G48" s="13">
        <f t="shared" si="6"/>
        <v>0</v>
      </c>
      <c r="H48" s="13">
        <v>0</v>
      </c>
      <c r="I48" s="15">
        <f t="shared" si="5"/>
        <v>0</v>
      </c>
      <c r="J48" s="15">
        <f t="shared" si="2"/>
        <v>0</v>
      </c>
      <c r="K48" s="15">
        <f t="shared" si="3"/>
        <v>1000</v>
      </c>
      <c r="L48" s="47">
        <f t="shared" si="4"/>
        <v>0</v>
      </c>
    </row>
    <row r="49" spans="1:12" ht="23.25">
      <c r="A49" s="24">
        <v>23</v>
      </c>
      <c r="B49" s="18" t="s">
        <v>66</v>
      </c>
      <c r="C49" s="13">
        <v>1000</v>
      </c>
      <c r="D49" s="13">
        <v>0</v>
      </c>
      <c r="E49" s="15">
        <v>0</v>
      </c>
      <c r="F49" s="13">
        <f t="shared" si="1"/>
        <v>0</v>
      </c>
      <c r="G49" s="13">
        <f t="shared" si="6"/>
        <v>0</v>
      </c>
      <c r="H49" s="13">
        <v>0</v>
      </c>
      <c r="I49" s="15">
        <f t="shared" si="5"/>
        <v>0</v>
      </c>
      <c r="J49" s="15">
        <f t="shared" si="2"/>
        <v>0</v>
      </c>
      <c r="K49" s="15">
        <f t="shared" si="3"/>
        <v>1000</v>
      </c>
      <c r="L49" s="47">
        <f t="shared" si="4"/>
        <v>0</v>
      </c>
    </row>
    <row r="50" spans="1:12" ht="22.5" customHeight="1">
      <c r="A50" s="24">
        <v>24</v>
      </c>
      <c r="B50" s="18" t="s">
        <v>67</v>
      </c>
      <c r="C50" s="13">
        <v>1000</v>
      </c>
      <c r="D50" s="13">
        <v>0</v>
      </c>
      <c r="E50" s="15">
        <v>0</v>
      </c>
      <c r="F50" s="13">
        <f t="shared" si="1"/>
        <v>0</v>
      </c>
      <c r="G50" s="13">
        <f t="shared" si="6"/>
        <v>0</v>
      </c>
      <c r="H50" s="13">
        <v>0</v>
      </c>
      <c r="I50" s="15">
        <f t="shared" si="5"/>
        <v>0</v>
      </c>
      <c r="J50" s="15">
        <f t="shared" si="2"/>
        <v>0</v>
      </c>
      <c r="K50" s="15">
        <f t="shared" si="3"/>
        <v>1000</v>
      </c>
      <c r="L50" s="47">
        <f t="shared" si="4"/>
        <v>0</v>
      </c>
    </row>
    <row r="51" spans="1:12" s="52" customFormat="1" ht="23.25">
      <c r="A51" s="51">
        <v>25</v>
      </c>
      <c r="B51" s="18" t="s">
        <v>68</v>
      </c>
      <c r="C51" s="15">
        <v>502000</v>
      </c>
      <c r="D51" s="15">
        <v>0</v>
      </c>
      <c r="E51" s="15">
        <v>463745</v>
      </c>
      <c r="F51" s="15">
        <f t="shared" si="1"/>
        <v>463745</v>
      </c>
      <c r="G51" s="15">
        <f t="shared" si="6"/>
        <v>18549.8</v>
      </c>
      <c r="H51" s="15">
        <v>0</v>
      </c>
      <c r="I51" s="15">
        <f t="shared" si="5"/>
        <v>18549.8</v>
      </c>
      <c r="J51" s="15">
        <f t="shared" si="2"/>
        <v>463745</v>
      </c>
      <c r="K51" s="15">
        <f t="shared" si="3"/>
        <v>38255</v>
      </c>
      <c r="L51" s="49">
        <f t="shared" si="4"/>
        <v>92.379482071713142</v>
      </c>
    </row>
    <row r="52" spans="1:12" s="52" customFormat="1" ht="24" customHeight="1">
      <c r="A52" s="51">
        <v>26</v>
      </c>
      <c r="B52" s="18" t="s">
        <v>69</v>
      </c>
      <c r="C52" s="15">
        <v>500000</v>
      </c>
      <c r="D52" s="15">
        <v>0</v>
      </c>
      <c r="E52" s="15">
        <v>468273</v>
      </c>
      <c r="F52" s="15">
        <f t="shared" si="1"/>
        <v>468273</v>
      </c>
      <c r="G52" s="15">
        <f t="shared" si="6"/>
        <v>18730.920000000002</v>
      </c>
      <c r="H52" s="15">
        <v>0</v>
      </c>
      <c r="I52" s="15">
        <f t="shared" si="5"/>
        <v>18730.920000000002</v>
      </c>
      <c r="J52" s="15">
        <f t="shared" si="2"/>
        <v>468273</v>
      </c>
      <c r="K52" s="15">
        <f t="shared" si="3"/>
        <v>31727</v>
      </c>
      <c r="L52" s="49">
        <f t="shared" si="4"/>
        <v>93.654600000000002</v>
      </c>
    </row>
    <row r="53" spans="1:12" ht="27.75" customHeight="1">
      <c r="A53" s="24">
        <v>27</v>
      </c>
      <c r="B53" s="18" t="s">
        <v>70</v>
      </c>
      <c r="C53" s="13">
        <v>500000</v>
      </c>
      <c r="D53" s="13">
        <v>0</v>
      </c>
      <c r="E53" s="15">
        <v>0</v>
      </c>
      <c r="F53" s="13">
        <f t="shared" si="1"/>
        <v>0</v>
      </c>
      <c r="G53" s="13">
        <f t="shared" si="6"/>
        <v>0</v>
      </c>
      <c r="H53" s="13">
        <v>0</v>
      </c>
      <c r="I53" s="15">
        <f t="shared" si="5"/>
        <v>0</v>
      </c>
      <c r="J53" s="15">
        <f t="shared" si="2"/>
        <v>0</v>
      </c>
      <c r="K53" s="15">
        <f t="shared" si="3"/>
        <v>500000</v>
      </c>
      <c r="L53" s="47">
        <f t="shared" si="4"/>
        <v>0</v>
      </c>
    </row>
    <row r="54" spans="1:12" ht="22.5" customHeight="1">
      <c r="A54" s="24">
        <v>28</v>
      </c>
      <c r="B54" s="18" t="s">
        <v>71</v>
      </c>
      <c r="C54" s="13">
        <v>1000</v>
      </c>
      <c r="D54" s="13">
        <v>0</v>
      </c>
      <c r="E54" s="15">
        <v>0</v>
      </c>
      <c r="F54" s="13">
        <f t="shared" si="1"/>
        <v>0</v>
      </c>
      <c r="G54" s="13">
        <f t="shared" si="6"/>
        <v>0</v>
      </c>
      <c r="H54" s="13">
        <v>0</v>
      </c>
      <c r="I54" s="15">
        <f t="shared" si="5"/>
        <v>0</v>
      </c>
      <c r="J54" s="15">
        <f t="shared" si="2"/>
        <v>0</v>
      </c>
      <c r="K54" s="15">
        <f t="shared" si="3"/>
        <v>1000</v>
      </c>
      <c r="L54" s="47">
        <f t="shared" si="4"/>
        <v>0</v>
      </c>
    </row>
    <row r="55" spans="1:12" ht="22.5" customHeight="1">
      <c r="A55" s="24">
        <v>29</v>
      </c>
      <c r="B55" s="18" t="s">
        <v>72</v>
      </c>
      <c r="C55" s="13">
        <v>1000</v>
      </c>
      <c r="D55" s="13">
        <v>0</v>
      </c>
      <c r="E55" s="15">
        <v>0</v>
      </c>
      <c r="F55" s="13">
        <f t="shared" si="1"/>
        <v>0</v>
      </c>
      <c r="G55" s="13">
        <f t="shared" si="6"/>
        <v>0</v>
      </c>
      <c r="H55" s="13">
        <v>0</v>
      </c>
      <c r="I55" s="15">
        <f t="shared" si="5"/>
        <v>0</v>
      </c>
      <c r="J55" s="15">
        <f t="shared" si="2"/>
        <v>0</v>
      </c>
      <c r="K55" s="15">
        <f t="shared" si="3"/>
        <v>1000</v>
      </c>
      <c r="L55" s="47">
        <f t="shared" si="4"/>
        <v>0</v>
      </c>
    </row>
    <row r="56" spans="1:12" ht="22.5" customHeight="1">
      <c r="A56" s="24">
        <v>30</v>
      </c>
      <c r="B56" s="18" t="s">
        <v>73</v>
      </c>
      <c r="C56" s="13">
        <v>1000</v>
      </c>
      <c r="D56" s="13">
        <v>0</v>
      </c>
      <c r="E56" s="15">
        <v>0</v>
      </c>
      <c r="F56" s="13">
        <f t="shared" si="1"/>
        <v>0</v>
      </c>
      <c r="G56" s="13">
        <f t="shared" si="6"/>
        <v>0</v>
      </c>
      <c r="H56" s="13">
        <v>0</v>
      </c>
      <c r="I56" s="15">
        <f t="shared" si="5"/>
        <v>0</v>
      </c>
      <c r="J56" s="15">
        <f t="shared" si="2"/>
        <v>0</v>
      </c>
      <c r="K56" s="15">
        <f t="shared" si="3"/>
        <v>1000</v>
      </c>
      <c r="L56" s="47">
        <f t="shared" si="4"/>
        <v>0</v>
      </c>
    </row>
    <row r="57" spans="1:12" ht="22.5" customHeight="1">
      <c r="A57" s="24">
        <v>31</v>
      </c>
      <c r="B57" s="18" t="s">
        <v>74</v>
      </c>
      <c r="C57" s="13">
        <v>1000</v>
      </c>
      <c r="D57" s="13">
        <v>0</v>
      </c>
      <c r="E57" s="15">
        <v>0</v>
      </c>
      <c r="F57" s="13">
        <f t="shared" si="1"/>
        <v>0</v>
      </c>
      <c r="G57" s="13">
        <f t="shared" si="6"/>
        <v>0</v>
      </c>
      <c r="H57" s="13">
        <v>0</v>
      </c>
      <c r="I57" s="15">
        <f t="shared" si="5"/>
        <v>0</v>
      </c>
      <c r="J57" s="15">
        <f t="shared" si="2"/>
        <v>0</v>
      </c>
      <c r="K57" s="15">
        <f t="shared" si="3"/>
        <v>1000</v>
      </c>
      <c r="L57" s="47">
        <f t="shared" si="4"/>
        <v>0</v>
      </c>
    </row>
    <row r="58" spans="1:12" ht="22.5" customHeight="1">
      <c r="A58" s="24">
        <v>32</v>
      </c>
      <c r="B58" s="18" t="s">
        <v>75</v>
      </c>
      <c r="C58" s="13">
        <v>1000</v>
      </c>
      <c r="D58" s="13">
        <v>0</v>
      </c>
      <c r="E58" s="15">
        <v>0</v>
      </c>
      <c r="F58" s="13">
        <f t="shared" si="1"/>
        <v>0</v>
      </c>
      <c r="G58" s="13">
        <f t="shared" si="6"/>
        <v>0</v>
      </c>
      <c r="H58" s="13">
        <v>0</v>
      </c>
      <c r="I58" s="15">
        <f t="shared" si="5"/>
        <v>0</v>
      </c>
      <c r="J58" s="15">
        <f t="shared" si="2"/>
        <v>0</v>
      </c>
      <c r="K58" s="15">
        <f t="shared" si="3"/>
        <v>1000</v>
      </c>
      <c r="L58" s="47">
        <f t="shared" si="4"/>
        <v>0</v>
      </c>
    </row>
    <row r="59" spans="1:12" ht="22.5" customHeight="1">
      <c r="A59" s="24">
        <v>33</v>
      </c>
      <c r="B59" s="18" t="s">
        <v>76</v>
      </c>
      <c r="C59" s="13">
        <v>10000</v>
      </c>
      <c r="D59" s="13">
        <v>0</v>
      </c>
      <c r="E59" s="15">
        <v>0</v>
      </c>
      <c r="F59" s="13">
        <f t="shared" si="1"/>
        <v>0</v>
      </c>
      <c r="G59" s="13">
        <f t="shared" si="6"/>
        <v>0</v>
      </c>
      <c r="H59" s="13">
        <v>0</v>
      </c>
      <c r="I59" s="15">
        <f t="shared" si="5"/>
        <v>0</v>
      </c>
      <c r="J59" s="15">
        <f t="shared" si="2"/>
        <v>0</v>
      </c>
      <c r="K59" s="15">
        <f t="shared" si="3"/>
        <v>10000</v>
      </c>
      <c r="L59" s="47">
        <f t="shared" si="4"/>
        <v>0</v>
      </c>
    </row>
    <row r="60" spans="1:12" ht="22.5" customHeight="1">
      <c r="A60" s="24">
        <v>34</v>
      </c>
      <c r="B60" s="18" t="s">
        <v>77</v>
      </c>
      <c r="C60" s="13">
        <v>1000</v>
      </c>
      <c r="D60" s="13">
        <v>0</v>
      </c>
      <c r="E60" s="15">
        <v>0</v>
      </c>
      <c r="F60" s="13">
        <f t="shared" si="1"/>
        <v>0</v>
      </c>
      <c r="G60" s="13">
        <f t="shared" si="6"/>
        <v>0</v>
      </c>
      <c r="H60" s="13">
        <v>0</v>
      </c>
      <c r="I60" s="15">
        <f t="shared" si="5"/>
        <v>0</v>
      </c>
      <c r="J60" s="15">
        <f t="shared" si="2"/>
        <v>0</v>
      </c>
      <c r="K60" s="15">
        <f t="shared" si="3"/>
        <v>1000</v>
      </c>
      <c r="L60" s="47">
        <f t="shared" si="4"/>
        <v>0</v>
      </c>
    </row>
    <row r="61" spans="1:12" ht="22.5" customHeight="1">
      <c r="A61" s="24">
        <v>35</v>
      </c>
      <c r="B61" s="18" t="s">
        <v>78</v>
      </c>
      <c r="C61" s="13">
        <v>1800000</v>
      </c>
      <c r="D61" s="13">
        <v>0</v>
      </c>
      <c r="E61" s="15">
        <f>814974+906591</f>
        <v>1721565</v>
      </c>
      <c r="F61" s="13">
        <f t="shared" si="1"/>
        <v>1721565</v>
      </c>
      <c r="G61" s="13">
        <f t="shared" si="6"/>
        <v>68862.600000000006</v>
      </c>
      <c r="H61" s="13">
        <v>64071</v>
      </c>
      <c r="I61" s="15">
        <f t="shared" si="5"/>
        <v>4791.6000000000058</v>
      </c>
      <c r="J61" s="15">
        <f t="shared" si="2"/>
        <v>1785636</v>
      </c>
      <c r="K61" s="15">
        <f t="shared" si="3"/>
        <v>14364</v>
      </c>
      <c r="L61" s="47">
        <f t="shared" si="4"/>
        <v>99.201999999999998</v>
      </c>
    </row>
    <row r="62" spans="1:12" ht="22.5" customHeight="1">
      <c r="A62" s="24">
        <v>36</v>
      </c>
      <c r="B62" s="18" t="s">
        <v>79</v>
      </c>
      <c r="C62" s="13">
        <v>1000</v>
      </c>
      <c r="D62" s="13">
        <v>0</v>
      </c>
      <c r="E62" s="15">
        <v>0</v>
      </c>
      <c r="F62" s="13">
        <f t="shared" si="1"/>
        <v>0</v>
      </c>
      <c r="G62" s="13">
        <f t="shared" si="6"/>
        <v>0</v>
      </c>
      <c r="H62" s="13">
        <v>0</v>
      </c>
      <c r="I62" s="15">
        <f t="shared" si="5"/>
        <v>0</v>
      </c>
      <c r="J62" s="15">
        <f t="shared" si="2"/>
        <v>0</v>
      </c>
      <c r="K62" s="15">
        <f t="shared" si="3"/>
        <v>1000</v>
      </c>
      <c r="L62" s="47">
        <f t="shared" si="4"/>
        <v>0</v>
      </c>
    </row>
    <row r="63" spans="1:12" ht="22.5" customHeight="1">
      <c r="A63" s="24">
        <v>37</v>
      </c>
      <c r="B63" s="18" t="s">
        <v>80</v>
      </c>
      <c r="C63" s="13">
        <v>1000</v>
      </c>
      <c r="D63" s="13">
        <v>0</v>
      </c>
      <c r="E63" s="15">
        <v>0</v>
      </c>
      <c r="F63" s="13">
        <f t="shared" si="1"/>
        <v>0</v>
      </c>
      <c r="G63" s="13">
        <f t="shared" si="6"/>
        <v>0</v>
      </c>
      <c r="H63" s="13">
        <v>0</v>
      </c>
      <c r="I63" s="15">
        <f t="shared" si="5"/>
        <v>0</v>
      </c>
      <c r="J63" s="15">
        <f t="shared" si="2"/>
        <v>0</v>
      </c>
      <c r="K63" s="15">
        <f t="shared" si="3"/>
        <v>1000</v>
      </c>
      <c r="L63" s="47">
        <f t="shared" si="4"/>
        <v>0</v>
      </c>
    </row>
    <row r="64" spans="1:12" ht="22.5" customHeight="1">
      <c r="A64" s="24">
        <v>38</v>
      </c>
      <c r="B64" s="18" t="s">
        <v>81</v>
      </c>
      <c r="C64" s="13">
        <v>1000</v>
      </c>
      <c r="D64" s="13">
        <v>0</v>
      </c>
      <c r="E64" s="15">
        <v>0</v>
      </c>
      <c r="F64" s="13">
        <f t="shared" si="1"/>
        <v>0</v>
      </c>
      <c r="G64" s="13">
        <f t="shared" si="6"/>
        <v>0</v>
      </c>
      <c r="H64" s="13">
        <v>0</v>
      </c>
      <c r="I64" s="15">
        <f t="shared" si="5"/>
        <v>0</v>
      </c>
      <c r="J64" s="15">
        <f t="shared" si="2"/>
        <v>0</v>
      </c>
      <c r="K64" s="15">
        <f t="shared" si="3"/>
        <v>1000</v>
      </c>
      <c r="L64" s="47">
        <f t="shared" si="4"/>
        <v>0</v>
      </c>
    </row>
    <row r="65" spans="1:12" ht="22.5" customHeight="1">
      <c r="A65" s="24">
        <v>39</v>
      </c>
      <c r="B65" s="18" t="s">
        <v>82</v>
      </c>
      <c r="C65" s="13">
        <v>1000</v>
      </c>
      <c r="D65" s="13">
        <v>0</v>
      </c>
      <c r="E65" s="15">
        <v>0</v>
      </c>
      <c r="F65" s="13">
        <f t="shared" si="1"/>
        <v>0</v>
      </c>
      <c r="G65" s="13">
        <f t="shared" si="6"/>
        <v>0</v>
      </c>
      <c r="H65" s="13">
        <v>0</v>
      </c>
      <c r="I65" s="15">
        <f t="shared" si="5"/>
        <v>0</v>
      </c>
      <c r="J65" s="15">
        <f t="shared" si="2"/>
        <v>0</v>
      </c>
      <c r="K65" s="15">
        <f t="shared" si="3"/>
        <v>1000</v>
      </c>
      <c r="L65" s="47">
        <f t="shared" si="4"/>
        <v>0</v>
      </c>
    </row>
    <row r="66" spans="1:12" ht="22.5" customHeight="1">
      <c r="A66" s="24">
        <v>40</v>
      </c>
      <c r="B66" s="18" t="s">
        <v>83</v>
      </c>
      <c r="C66" s="13">
        <v>1000</v>
      </c>
      <c r="D66" s="13">
        <v>0</v>
      </c>
      <c r="E66" s="15">
        <v>0</v>
      </c>
      <c r="F66" s="13">
        <f t="shared" si="1"/>
        <v>0</v>
      </c>
      <c r="G66" s="13">
        <f t="shared" si="6"/>
        <v>0</v>
      </c>
      <c r="H66" s="13">
        <v>0</v>
      </c>
      <c r="I66" s="15">
        <f t="shared" si="5"/>
        <v>0</v>
      </c>
      <c r="J66" s="15">
        <f t="shared" si="2"/>
        <v>0</v>
      </c>
      <c r="K66" s="15">
        <f t="shared" si="3"/>
        <v>1000</v>
      </c>
      <c r="L66" s="47">
        <f t="shared" si="4"/>
        <v>0</v>
      </c>
    </row>
    <row r="67" spans="1:12" ht="22.5" customHeight="1">
      <c r="A67" s="24">
        <v>41</v>
      </c>
      <c r="B67" s="18" t="s">
        <v>84</v>
      </c>
      <c r="C67" s="13">
        <v>1000</v>
      </c>
      <c r="D67" s="13">
        <v>0</v>
      </c>
      <c r="E67" s="15">
        <v>0</v>
      </c>
      <c r="F67" s="13">
        <f t="shared" si="1"/>
        <v>0</v>
      </c>
      <c r="G67" s="13">
        <f t="shared" si="6"/>
        <v>0</v>
      </c>
      <c r="H67" s="13">
        <v>0</v>
      </c>
      <c r="I67" s="15">
        <f t="shared" si="5"/>
        <v>0</v>
      </c>
      <c r="J67" s="15">
        <f t="shared" si="2"/>
        <v>0</v>
      </c>
      <c r="K67" s="15">
        <f t="shared" si="3"/>
        <v>1000</v>
      </c>
      <c r="L67" s="47">
        <f t="shared" si="4"/>
        <v>0</v>
      </c>
    </row>
    <row r="68" spans="1:12" ht="22.5" customHeight="1">
      <c r="A68" s="24">
        <v>42</v>
      </c>
      <c r="B68" s="18" t="s">
        <v>85</v>
      </c>
      <c r="C68" s="13">
        <v>1000</v>
      </c>
      <c r="D68" s="13">
        <v>0</v>
      </c>
      <c r="E68" s="15">
        <v>0</v>
      </c>
      <c r="F68" s="13">
        <f t="shared" si="1"/>
        <v>0</v>
      </c>
      <c r="G68" s="13">
        <f t="shared" si="6"/>
        <v>0</v>
      </c>
      <c r="H68" s="13">
        <v>0</v>
      </c>
      <c r="I68" s="15">
        <f t="shared" si="5"/>
        <v>0</v>
      </c>
      <c r="J68" s="15">
        <f t="shared" si="2"/>
        <v>0</v>
      </c>
      <c r="K68" s="15">
        <f t="shared" si="3"/>
        <v>1000</v>
      </c>
      <c r="L68" s="47">
        <f t="shared" si="4"/>
        <v>0</v>
      </c>
    </row>
    <row r="69" spans="1:12" ht="22.5" customHeight="1">
      <c r="A69" s="24">
        <v>43</v>
      </c>
      <c r="B69" s="18" t="s">
        <v>86</v>
      </c>
      <c r="C69" s="13">
        <v>1000</v>
      </c>
      <c r="D69" s="13">
        <v>0</v>
      </c>
      <c r="E69" s="15">
        <v>0</v>
      </c>
      <c r="F69" s="13">
        <f t="shared" si="1"/>
        <v>0</v>
      </c>
      <c r="G69" s="13">
        <f t="shared" si="6"/>
        <v>0</v>
      </c>
      <c r="H69" s="13">
        <v>0</v>
      </c>
      <c r="I69" s="15">
        <f t="shared" si="5"/>
        <v>0</v>
      </c>
      <c r="J69" s="15">
        <f t="shared" si="2"/>
        <v>0</v>
      </c>
      <c r="K69" s="15">
        <f t="shared" si="3"/>
        <v>1000</v>
      </c>
      <c r="L69" s="47">
        <f t="shared" si="4"/>
        <v>0</v>
      </c>
    </row>
    <row r="70" spans="1:12" ht="22.5" customHeight="1">
      <c r="A70" s="24">
        <v>44</v>
      </c>
      <c r="B70" s="18" t="s">
        <v>87</v>
      </c>
      <c r="C70" s="13">
        <v>1000</v>
      </c>
      <c r="D70" s="13">
        <v>0</v>
      </c>
      <c r="E70" s="15">
        <v>0</v>
      </c>
      <c r="F70" s="13">
        <f t="shared" si="1"/>
        <v>0</v>
      </c>
      <c r="G70" s="13">
        <f t="shared" si="6"/>
        <v>0</v>
      </c>
      <c r="H70" s="13">
        <v>0</v>
      </c>
      <c r="I70" s="15">
        <f t="shared" si="5"/>
        <v>0</v>
      </c>
      <c r="J70" s="15">
        <f t="shared" si="2"/>
        <v>0</v>
      </c>
      <c r="K70" s="15">
        <f t="shared" si="3"/>
        <v>1000</v>
      </c>
      <c r="L70" s="47">
        <f t="shared" si="4"/>
        <v>0</v>
      </c>
    </row>
    <row r="71" spans="1:12" ht="22.5" customHeight="1">
      <c r="A71" s="24">
        <v>45</v>
      </c>
      <c r="B71" s="18" t="s">
        <v>88</v>
      </c>
      <c r="C71" s="13">
        <v>1000</v>
      </c>
      <c r="D71" s="13">
        <v>0</v>
      </c>
      <c r="E71" s="15">
        <v>0</v>
      </c>
      <c r="F71" s="13">
        <f t="shared" si="1"/>
        <v>0</v>
      </c>
      <c r="G71" s="13">
        <f t="shared" si="6"/>
        <v>0</v>
      </c>
      <c r="H71" s="13">
        <v>0</v>
      </c>
      <c r="I71" s="15">
        <f t="shared" si="5"/>
        <v>0</v>
      </c>
      <c r="J71" s="15">
        <f t="shared" si="2"/>
        <v>0</v>
      </c>
      <c r="K71" s="15">
        <f t="shared" si="3"/>
        <v>1000</v>
      </c>
      <c r="L71" s="47">
        <f t="shared" si="4"/>
        <v>0</v>
      </c>
    </row>
    <row r="72" spans="1:12" ht="22.5" customHeight="1">
      <c r="A72" s="24">
        <v>46</v>
      </c>
      <c r="B72" s="18" t="s">
        <v>89</v>
      </c>
      <c r="C72" s="13">
        <v>1000</v>
      </c>
      <c r="D72" s="13">
        <v>0</v>
      </c>
      <c r="E72" s="15">
        <v>0</v>
      </c>
      <c r="F72" s="13">
        <f t="shared" si="1"/>
        <v>0</v>
      </c>
      <c r="G72" s="13">
        <f t="shared" si="6"/>
        <v>0</v>
      </c>
      <c r="H72" s="13">
        <v>0</v>
      </c>
      <c r="I72" s="15">
        <f t="shared" si="5"/>
        <v>0</v>
      </c>
      <c r="J72" s="15">
        <f t="shared" si="2"/>
        <v>0</v>
      </c>
      <c r="K72" s="15">
        <f t="shared" si="3"/>
        <v>1000</v>
      </c>
      <c r="L72" s="47">
        <f t="shared" si="4"/>
        <v>0</v>
      </c>
    </row>
    <row r="73" spans="1:12" ht="22.5" customHeight="1">
      <c r="A73" s="24">
        <v>47</v>
      </c>
      <c r="B73" s="18" t="s">
        <v>90</v>
      </c>
      <c r="C73" s="13">
        <v>1000</v>
      </c>
      <c r="D73" s="13">
        <v>0</v>
      </c>
      <c r="E73" s="15">
        <v>0</v>
      </c>
      <c r="F73" s="13">
        <f t="shared" si="1"/>
        <v>0</v>
      </c>
      <c r="G73" s="13">
        <f t="shared" si="6"/>
        <v>0</v>
      </c>
      <c r="H73" s="13">
        <v>0</v>
      </c>
      <c r="I73" s="15">
        <f t="shared" si="5"/>
        <v>0</v>
      </c>
      <c r="J73" s="15">
        <f t="shared" si="2"/>
        <v>0</v>
      </c>
      <c r="K73" s="15">
        <f t="shared" si="3"/>
        <v>1000</v>
      </c>
      <c r="L73" s="47">
        <f t="shared" si="4"/>
        <v>0</v>
      </c>
    </row>
    <row r="74" spans="1:12" ht="22.5" customHeight="1">
      <c r="A74" s="24">
        <v>48</v>
      </c>
      <c r="B74" s="18" t="s">
        <v>91</v>
      </c>
      <c r="C74" s="13">
        <v>1000</v>
      </c>
      <c r="D74" s="13">
        <v>0</v>
      </c>
      <c r="E74" s="15">
        <v>0</v>
      </c>
      <c r="F74" s="13">
        <f t="shared" si="1"/>
        <v>0</v>
      </c>
      <c r="G74" s="13">
        <f t="shared" si="6"/>
        <v>0</v>
      </c>
      <c r="H74" s="13">
        <v>0</v>
      </c>
      <c r="I74" s="15">
        <f t="shared" si="5"/>
        <v>0</v>
      </c>
      <c r="J74" s="15">
        <f t="shared" si="2"/>
        <v>0</v>
      </c>
      <c r="K74" s="15">
        <f t="shared" si="3"/>
        <v>1000</v>
      </c>
      <c r="L74" s="47">
        <f t="shared" si="4"/>
        <v>0</v>
      </c>
    </row>
    <row r="75" spans="1:12" ht="22.5" customHeight="1">
      <c r="A75" s="24">
        <v>49</v>
      </c>
      <c r="B75" s="18" t="s">
        <v>92</v>
      </c>
      <c r="C75" s="13">
        <v>1000</v>
      </c>
      <c r="D75" s="13">
        <v>0</v>
      </c>
      <c r="E75" s="15">
        <v>0</v>
      </c>
      <c r="F75" s="13">
        <f t="shared" ref="F75:F113" si="15">D75+E75</f>
        <v>0</v>
      </c>
      <c r="G75" s="13">
        <f t="shared" si="6"/>
        <v>0</v>
      </c>
      <c r="H75" s="13">
        <v>0</v>
      </c>
      <c r="I75" s="15">
        <f t="shared" si="5"/>
        <v>0</v>
      </c>
      <c r="J75" s="15">
        <f t="shared" ref="J75:J113" si="16">F75+H75</f>
        <v>0</v>
      </c>
      <c r="K75" s="15">
        <f t="shared" ref="K75:K113" si="17">C75-J75</f>
        <v>1000</v>
      </c>
      <c r="L75" s="47">
        <f t="shared" ref="L75:L114" si="18">J75/C75*100</f>
        <v>0</v>
      </c>
    </row>
    <row r="76" spans="1:12" ht="46.5">
      <c r="A76" s="24">
        <v>50</v>
      </c>
      <c r="B76" s="27" t="s">
        <v>93</v>
      </c>
      <c r="C76" s="13">
        <v>1000</v>
      </c>
      <c r="D76" s="13">
        <v>0</v>
      </c>
      <c r="E76" s="15">
        <v>0</v>
      </c>
      <c r="F76" s="13">
        <f t="shared" si="15"/>
        <v>0</v>
      </c>
      <c r="G76" s="13">
        <f t="shared" ref="G76:G113" si="19">F76*4%</f>
        <v>0</v>
      </c>
      <c r="H76" s="13">
        <v>0</v>
      </c>
      <c r="I76" s="15">
        <f t="shared" ref="I76:I113" si="20">G76-H76</f>
        <v>0</v>
      </c>
      <c r="J76" s="15">
        <f t="shared" si="16"/>
        <v>0</v>
      </c>
      <c r="K76" s="15">
        <f t="shared" si="17"/>
        <v>1000</v>
      </c>
      <c r="L76" s="47">
        <f t="shared" si="18"/>
        <v>0</v>
      </c>
    </row>
    <row r="77" spans="1:12" ht="46.5">
      <c r="A77" s="24">
        <v>51</v>
      </c>
      <c r="B77" s="27" t="s">
        <v>94</v>
      </c>
      <c r="C77" s="13">
        <v>1000</v>
      </c>
      <c r="D77" s="13">
        <v>0</v>
      </c>
      <c r="E77" s="15">
        <v>0</v>
      </c>
      <c r="F77" s="13">
        <f t="shared" si="15"/>
        <v>0</v>
      </c>
      <c r="G77" s="13">
        <f t="shared" si="19"/>
        <v>0</v>
      </c>
      <c r="H77" s="13">
        <v>0</v>
      </c>
      <c r="I77" s="15">
        <f t="shared" si="20"/>
        <v>0</v>
      </c>
      <c r="J77" s="15">
        <f t="shared" si="16"/>
        <v>0</v>
      </c>
      <c r="K77" s="15">
        <f t="shared" si="17"/>
        <v>1000</v>
      </c>
      <c r="L77" s="47">
        <f t="shared" si="18"/>
        <v>0</v>
      </c>
    </row>
    <row r="78" spans="1:12" ht="23.25">
      <c r="A78" s="24">
        <v>52</v>
      </c>
      <c r="B78" s="27" t="s">
        <v>95</v>
      </c>
      <c r="C78" s="13">
        <v>1000</v>
      </c>
      <c r="D78" s="13">
        <v>0</v>
      </c>
      <c r="E78" s="15">
        <v>0</v>
      </c>
      <c r="F78" s="13">
        <f t="shared" si="15"/>
        <v>0</v>
      </c>
      <c r="G78" s="13">
        <f t="shared" si="19"/>
        <v>0</v>
      </c>
      <c r="H78" s="13">
        <v>0</v>
      </c>
      <c r="I78" s="15">
        <f t="shared" si="20"/>
        <v>0</v>
      </c>
      <c r="J78" s="15">
        <f t="shared" si="16"/>
        <v>0</v>
      </c>
      <c r="K78" s="15">
        <f t="shared" si="17"/>
        <v>1000</v>
      </c>
      <c r="L78" s="47">
        <f t="shared" si="18"/>
        <v>0</v>
      </c>
    </row>
    <row r="79" spans="1:12" ht="22.5" customHeight="1">
      <c r="A79" s="24">
        <v>53</v>
      </c>
      <c r="B79" s="27" t="s">
        <v>96</v>
      </c>
      <c r="C79" s="13">
        <v>1000</v>
      </c>
      <c r="D79" s="13">
        <v>0</v>
      </c>
      <c r="E79" s="15">
        <v>0</v>
      </c>
      <c r="F79" s="13">
        <f t="shared" si="15"/>
        <v>0</v>
      </c>
      <c r="G79" s="13">
        <f t="shared" si="19"/>
        <v>0</v>
      </c>
      <c r="H79" s="13">
        <v>0</v>
      </c>
      <c r="I79" s="15">
        <f t="shared" si="20"/>
        <v>0</v>
      </c>
      <c r="J79" s="15">
        <f t="shared" si="16"/>
        <v>0</v>
      </c>
      <c r="K79" s="15">
        <f t="shared" si="17"/>
        <v>1000</v>
      </c>
      <c r="L79" s="47">
        <f t="shared" si="18"/>
        <v>0</v>
      </c>
    </row>
    <row r="80" spans="1:12" ht="23.25">
      <c r="A80" s="24">
        <v>54</v>
      </c>
      <c r="B80" s="27" t="s">
        <v>97</v>
      </c>
      <c r="C80" s="13">
        <v>500000</v>
      </c>
      <c r="D80" s="13">
        <v>0</v>
      </c>
      <c r="E80" s="15">
        <v>479808</v>
      </c>
      <c r="F80" s="13">
        <f t="shared" si="15"/>
        <v>479808</v>
      </c>
      <c r="G80" s="13">
        <f t="shared" si="19"/>
        <v>19192.32</v>
      </c>
      <c r="H80" s="13">
        <v>0</v>
      </c>
      <c r="I80" s="15">
        <f t="shared" si="20"/>
        <v>19192.32</v>
      </c>
      <c r="J80" s="15">
        <f t="shared" si="16"/>
        <v>479808</v>
      </c>
      <c r="K80" s="15">
        <f t="shared" si="17"/>
        <v>20192</v>
      </c>
      <c r="L80" s="47">
        <f t="shared" si="18"/>
        <v>95.961600000000004</v>
      </c>
    </row>
    <row r="81" spans="1:12" ht="46.5">
      <c r="A81" s="24">
        <v>55</v>
      </c>
      <c r="B81" s="27" t="s">
        <v>98</v>
      </c>
      <c r="C81" s="13">
        <v>1000</v>
      </c>
      <c r="D81" s="13">
        <v>0</v>
      </c>
      <c r="E81" s="15">
        <v>0</v>
      </c>
      <c r="F81" s="13">
        <f t="shared" si="15"/>
        <v>0</v>
      </c>
      <c r="G81" s="13">
        <f t="shared" si="19"/>
        <v>0</v>
      </c>
      <c r="H81" s="13">
        <v>0</v>
      </c>
      <c r="I81" s="15">
        <f t="shared" si="20"/>
        <v>0</v>
      </c>
      <c r="J81" s="15">
        <f t="shared" si="16"/>
        <v>0</v>
      </c>
      <c r="K81" s="15">
        <f t="shared" si="17"/>
        <v>1000</v>
      </c>
      <c r="L81" s="47">
        <f t="shared" si="18"/>
        <v>0</v>
      </c>
    </row>
    <row r="82" spans="1:12" ht="23.25">
      <c r="A82" s="24">
        <v>56</v>
      </c>
      <c r="B82" s="27" t="s">
        <v>99</v>
      </c>
      <c r="C82" s="13">
        <v>1000</v>
      </c>
      <c r="D82" s="13">
        <v>0</v>
      </c>
      <c r="E82" s="15">
        <v>0</v>
      </c>
      <c r="F82" s="13">
        <f t="shared" si="15"/>
        <v>0</v>
      </c>
      <c r="G82" s="13">
        <f t="shared" si="19"/>
        <v>0</v>
      </c>
      <c r="H82" s="13">
        <v>0</v>
      </c>
      <c r="I82" s="15">
        <f t="shared" si="20"/>
        <v>0</v>
      </c>
      <c r="J82" s="15">
        <f t="shared" si="16"/>
        <v>0</v>
      </c>
      <c r="K82" s="15">
        <f t="shared" si="17"/>
        <v>1000</v>
      </c>
      <c r="L82" s="47">
        <f t="shared" si="18"/>
        <v>0</v>
      </c>
    </row>
    <row r="83" spans="1:12" ht="46.5">
      <c r="A83" s="24">
        <v>57</v>
      </c>
      <c r="B83" s="27" t="s">
        <v>100</v>
      </c>
      <c r="C83" s="13">
        <v>1000</v>
      </c>
      <c r="D83" s="13">
        <v>0</v>
      </c>
      <c r="E83" s="15">
        <v>0</v>
      </c>
      <c r="F83" s="13">
        <f t="shared" si="15"/>
        <v>0</v>
      </c>
      <c r="G83" s="13">
        <f t="shared" si="19"/>
        <v>0</v>
      </c>
      <c r="H83" s="13">
        <v>0</v>
      </c>
      <c r="I83" s="15">
        <f t="shared" si="20"/>
        <v>0</v>
      </c>
      <c r="J83" s="15">
        <f t="shared" si="16"/>
        <v>0</v>
      </c>
      <c r="K83" s="15">
        <f t="shared" si="17"/>
        <v>1000</v>
      </c>
      <c r="L83" s="47">
        <f t="shared" si="18"/>
        <v>0</v>
      </c>
    </row>
    <row r="84" spans="1:12" ht="46.5">
      <c r="A84" s="24">
        <v>58</v>
      </c>
      <c r="B84" s="27" t="s">
        <v>101</v>
      </c>
      <c r="C84" s="13">
        <v>1000</v>
      </c>
      <c r="D84" s="13">
        <v>0</v>
      </c>
      <c r="E84" s="15">
        <v>0</v>
      </c>
      <c r="F84" s="13">
        <f t="shared" si="15"/>
        <v>0</v>
      </c>
      <c r="G84" s="13">
        <f t="shared" si="19"/>
        <v>0</v>
      </c>
      <c r="H84" s="13">
        <v>0</v>
      </c>
      <c r="I84" s="15">
        <f t="shared" si="20"/>
        <v>0</v>
      </c>
      <c r="J84" s="15">
        <f t="shared" si="16"/>
        <v>0</v>
      </c>
      <c r="K84" s="15">
        <f t="shared" si="17"/>
        <v>1000</v>
      </c>
      <c r="L84" s="47">
        <f t="shared" si="18"/>
        <v>0</v>
      </c>
    </row>
    <row r="85" spans="1:12" ht="46.5">
      <c r="A85" s="24">
        <v>59</v>
      </c>
      <c r="B85" s="27" t="s">
        <v>102</v>
      </c>
      <c r="C85" s="13">
        <v>1000</v>
      </c>
      <c r="D85" s="13">
        <v>0</v>
      </c>
      <c r="E85" s="15">
        <v>0</v>
      </c>
      <c r="F85" s="13">
        <f t="shared" si="15"/>
        <v>0</v>
      </c>
      <c r="G85" s="13">
        <f t="shared" si="19"/>
        <v>0</v>
      </c>
      <c r="H85" s="13">
        <v>0</v>
      </c>
      <c r="I85" s="15">
        <f t="shared" si="20"/>
        <v>0</v>
      </c>
      <c r="J85" s="15">
        <f t="shared" si="16"/>
        <v>0</v>
      </c>
      <c r="K85" s="15">
        <f t="shared" si="17"/>
        <v>1000</v>
      </c>
      <c r="L85" s="47">
        <f t="shared" si="18"/>
        <v>0</v>
      </c>
    </row>
    <row r="86" spans="1:12" ht="23.25">
      <c r="A86" s="24">
        <v>60</v>
      </c>
      <c r="B86" s="27" t="s">
        <v>103</v>
      </c>
      <c r="C86" s="13">
        <v>2000000</v>
      </c>
      <c r="D86" s="13">
        <v>0</v>
      </c>
      <c r="E86" s="15">
        <f>811946+626798</f>
        <v>1438744</v>
      </c>
      <c r="F86" s="13">
        <f t="shared" si="15"/>
        <v>1438744</v>
      </c>
      <c r="G86" s="13">
        <f t="shared" si="19"/>
        <v>57549.760000000002</v>
      </c>
      <c r="H86" s="13">
        <v>19000</v>
      </c>
      <c r="I86" s="15">
        <f t="shared" si="20"/>
        <v>38549.760000000002</v>
      </c>
      <c r="J86" s="15">
        <f t="shared" si="16"/>
        <v>1457744</v>
      </c>
      <c r="K86" s="15">
        <f t="shared" si="17"/>
        <v>542256</v>
      </c>
      <c r="L86" s="47">
        <f t="shared" si="18"/>
        <v>72.887199999999993</v>
      </c>
    </row>
    <row r="87" spans="1:12" ht="24.75" customHeight="1">
      <c r="A87" s="24">
        <v>61</v>
      </c>
      <c r="B87" s="27" t="s">
        <v>104</v>
      </c>
      <c r="C87" s="13">
        <v>1000</v>
      </c>
      <c r="D87" s="13">
        <v>0</v>
      </c>
      <c r="E87" s="15">
        <v>0</v>
      </c>
      <c r="F87" s="13">
        <f t="shared" si="15"/>
        <v>0</v>
      </c>
      <c r="G87" s="13">
        <f t="shared" si="19"/>
        <v>0</v>
      </c>
      <c r="H87" s="13">
        <v>0</v>
      </c>
      <c r="I87" s="15">
        <f t="shared" si="20"/>
        <v>0</v>
      </c>
      <c r="J87" s="15">
        <f t="shared" si="16"/>
        <v>0</v>
      </c>
      <c r="K87" s="15">
        <f t="shared" si="17"/>
        <v>1000</v>
      </c>
      <c r="L87" s="47">
        <f t="shared" si="18"/>
        <v>0</v>
      </c>
    </row>
    <row r="88" spans="1:12" ht="23.25">
      <c r="A88" s="24">
        <v>62</v>
      </c>
      <c r="B88" s="27" t="s">
        <v>105</v>
      </c>
      <c r="C88" s="13">
        <v>1000</v>
      </c>
      <c r="D88" s="13">
        <v>0</v>
      </c>
      <c r="E88" s="15">
        <v>0</v>
      </c>
      <c r="F88" s="13">
        <f t="shared" si="15"/>
        <v>0</v>
      </c>
      <c r="G88" s="13">
        <f t="shared" si="19"/>
        <v>0</v>
      </c>
      <c r="H88" s="13">
        <v>0</v>
      </c>
      <c r="I88" s="15">
        <f t="shared" si="20"/>
        <v>0</v>
      </c>
      <c r="J88" s="15">
        <f t="shared" si="16"/>
        <v>0</v>
      </c>
      <c r="K88" s="15">
        <f t="shared" si="17"/>
        <v>1000</v>
      </c>
      <c r="L88" s="47">
        <f t="shared" si="18"/>
        <v>0</v>
      </c>
    </row>
    <row r="89" spans="1:12" ht="23.25">
      <c r="A89" s="24">
        <v>63</v>
      </c>
      <c r="B89" s="27" t="s">
        <v>106</v>
      </c>
      <c r="C89" s="13">
        <v>1000</v>
      </c>
      <c r="D89" s="13">
        <v>0</v>
      </c>
      <c r="E89" s="15">
        <v>0</v>
      </c>
      <c r="F89" s="13">
        <f t="shared" si="15"/>
        <v>0</v>
      </c>
      <c r="G89" s="13">
        <f t="shared" si="19"/>
        <v>0</v>
      </c>
      <c r="H89" s="13">
        <v>0</v>
      </c>
      <c r="I89" s="15">
        <f t="shared" si="20"/>
        <v>0</v>
      </c>
      <c r="J89" s="15">
        <f t="shared" si="16"/>
        <v>0</v>
      </c>
      <c r="K89" s="15">
        <f t="shared" si="17"/>
        <v>1000</v>
      </c>
      <c r="L89" s="47">
        <f t="shared" si="18"/>
        <v>0</v>
      </c>
    </row>
    <row r="90" spans="1:12" ht="27.75" customHeight="1">
      <c r="A90" s="24">
        <v>64</v>
      </c>
      <c r="B90" s="27" t="s">
        <v>107</v>
      </c>
      <c r="C90" s="13">
        <v>0</v>
      </c>
      <c r="D90" s="13">
        <v>0</v>
      </c>
      <c r="E90" s="15">
        <v>0</v>
      </c>
      <c r="F90" s="13">
        <f t="shared" si="15"/>
        <v>0</v>
      </c>
      <c r="G90" s="13">
        <f t="shared" si="19"/>
        <v>0</v>
      </c>
      <c r="H90" s="13">
        <v>0</v>
      </c>
      <c r="I90" s="15">
        <f t="shared" si="20"/>
        <v>0</v>
      </c>
      <c r="J90" s="15">
        <f t="shared" si="16"/>
        <v>0</v>
      </c>
      <c r="K90" s="15">
        <f t="shared" si="17"/>
        <v>0</v>
      </c>
      <c r="L90" s="47">
        <v>0</v>
      </c>
    </row>
    <row r="91" spans="1:12" ht="27" customHeight="1">
      <c r="A91" s="24">
        <v>65</v>
      </c>
      <c r="B91" s="27" t="s">
        <v>498</v>
      </c>
      <c r="C91" s="13">
        <v>0</v>
      </c>
      <c r="D91" s="13">
        <v>0</v>
      </c>
      <c r="E91" s="15">
        <v>0</v>
      </c>
      <c r="F91" s="13">
        <f t="shared" si="15"/>
        <v>0</v>
      </c>
      <c r="G91" s="13">
        <f t="shared" si="19"/>
        <v>0</v>
      </c>
      <c r="H91" s="13">
        <v>0</v>
      </c>
      <c r="I91" s="15">
        <f t="shared" si="20"/>
        <v>0</v>
      </c>
      <c r="J91" s="15">
        <f t="shared" si="16"/>
        <v>0</v>
      </c>
      <c r="K91" s="15">
        <f t="shared" si="17"/>
        <v>0</v>
      </c>
      <c r="L91" s="47">
        <v>0</v>
      </c>
    </row>
    <row r="92" spans="1:12" ht="46.5">
      <c r="A92" s="24">
        <v>66</v>
      </c>
      <c r="B92" s="27" t="s">
        <v>108</v>
      </c>
      <c r="C92" s="13">
        <v>1000</v>
      </c>
      <c r="D92" s="13">
        <v>0</v>
      </c>
      <c r="E92" s="15">
        <v>0</v>
      </c>
      <c r="F92" s="13">
        <f t="shared" si="15"/>
        <v>0</v>
      </c>
      <c r="G92" s="13">
        <f t="shared" si="19"/>
        <v>0</v>
      </c>
      <c r="H92" s="13">
        <v>0</v>
      </c>
      <c r="I92" s="15">
        <f t="shared" si="20"/>
        <v>0</v>
      </c>
      <c r="J92" s="15">
        <f t="shared" si="16"/>
        <v>0</v>
      </c>
      <c r="K92" s="15">
        <f t="shared" si="17"/>
        <v>1000</v>
      </c>
      <c r="L92" s="47">
        <f t="shared" si="18"/>
        <v>0</v>
      </c>
    </row>
    <row r="93" spans="1:12" ht="46.5">
      <c r="A93" s="62">
        <v>67</v>
      </c>
      <c r="B93" s="63" t="s">
        <v>109</v>
      </c>
      <c r="C93" s="13">
        <v>2000000</v>
      </c>
      <c r="D93" s="13">
        <v>0</v>
      </c>
      <c r="E93" s="15">
        <f>749637+1210340</f>
        <v>1959977</v>
      </c>
      <c r="F93" s="13">
        <f t="shared" si="15"/>
        <v>1959977</v>
      </c>
      <c r="G93" s="13">
        <f t="shared" si="19"/>
        <v>78399.08</v>
      </c>
      <c r="H93" s="13">
        <v>0</v>
      </c>
      <c r="I93" s="15">
        <f t="shared" si="20"/>
        <v>78399.08</v>
      </c>
      <c r="J93" s="15">
        <f t="shared" si="16"/>
        <v>1959977</v>
      </c>
      <c r="K93" s="15">
        <f t="shared" si="17"/>
        <v>40023</v>
      </c>
      <c r="L93" s="47">
        <f t="shared" si="18"/>
        <v>97.998850000000004</v>
      </c>
    </row>
    <row r="94" spans="1:12" ht="23.25">
      <c r="A94" s="24">
        <v>68</v>
      </c>
      <c r="B94" s="27" t="s">
        <v>110</v>
      </c>
      <c r="C94" s="13">
        <v>1000</v>
      </c>
      <c r="D94" s="13">
        <v>0</v>
      </c>
      <c r="E94" s="15">
        <v>0</v>
      </c>
      <c r="F94" s="13">
        <f t="shared" si="15"/>
        <v>0</v>
      </c>
      <c r="G94" s="13">
        <f t="shared" si="19"/>
        <v>0</v>
      </c>
      <c r="H94" s="13">
        <v>0</v>
      </c>
      <c r="I94" s="15">
        <f t="shared" si="20"/>
        <v>0</v>
      </c>
      <c r="J94" s="15">
        <f t="shared" si="16"/>
        <v>0</v>
      </c>
      <c r="K94" s="15">
        <f t="shared" si="17"/>
        <v>1000</v>
      </c>
      <c r="L94" s="47">
        <f t="shared" si="18"/>
        <v>0</v>
      </c>
    </row>
    <row r="95" spans="1:12" ht="19.5">
      <c r="A95" s="28" t="s">
        <v>112</v>
      </c>
      <c r="B95" s="29" t="s">
        <v>113</v>
      </c>
      <c r="C95" s="35">
        <f>SUM(C96:C113)</f>
        <v>16049000</v>
      </c>
      <c r="D95" s="35">
        <f t="shared" ref="D95:K95" si="21">SUM(D96:D113)</f>
        <v>0</v>
      </c>
      <c r="E95" s="35">
        <f t="shared" si="21"/>
        <v>13055632</v>
      </c>
      <c r="F95" s="35">
        <f t="shared" si="21"/>
        <v>13055632</v>
      </c>
      <c r="G95" s="35">
        <f t="shared" si="21"/>
        <v>522041.88</v>
      </c>
      <c r="H95" s="35">
        <f t="shared" si="21"/>
        <v>32800</v>
      </c>
      <c r="I95" s="35">
        <f t="shared" si="21"/>
        <v>489241.88</v>
      </c>
      <c r="J95" s="35">
        <f t="shared" si="21"/>
        <v>13088432</v>
      </c>
      <c r="K95" s="35">
        <f t="shared" si="21"/>
        <v>2960568</v>
      </c>
      <c r="L95" s="48">
        <f t="shared" si="18"/>
        <v>81.552944108667205</v>
      </c>
    </row>
    <row r="96" spans="1:12" s="52" customFormat="1" ht="23.25">
      <c r="A96" s="51">
        <v>1</v>
      </c>
      <c r="B96" s="27" t="s">
        <v>114</v>
      </c>
      <c r="C96" s="53">
        <v>1000000</v>
      </c>
      <c r="D96" s="15">
        <v>0</v>
      </c>
      <c r="E96" s="15">
        <v>4585</v>
      </c>
      <c r="F96" s="15">
        <f t="shared" si="15"/>
        <v>4585</v>
      </c>
      <c r="G96" s="15">
        <v>0</v>
      </c>
      <c r="H96" s="15">
        <v>0</v>
      </c>
      <c r="I96" s="15">
        <f t="shared" si="20"/>
        <v>0</v>
      </c>
      <c r="J96" s="15">
        <f t="shared" si="16"/>
        <v>4585</v>
      </c>
      <c r="K96" s="15">
        <f t="shared" si="17"/>
        <v>995415</v>
      </c>
      <c r="L96" s="49">
        <f t="shared" si="18"/>
        <v>0.45849999999999996</v>
      </c>
    </row>
    <row r="97" spans="1:12" ht="23.25">
      <c r="A97" s="62">
        <v>2</v>
      </c>
      <c r="B97" s="63" t="s">
        <v>115</v>
      </c>
      <c r="C97" s="7">
        <v>5191000</v>
      </c>
      <c r="D97" s="13">
        <v>0</v>
      </c>
      <c r="E97" s="15">
        <f>479425+212019+2399066+1870376</f>
        <v>4960886</v>
      </c>
      <c r="F97" s="13">
        <f t="shared" si="15"/>
        <v>4960886</v>
      </c>
      <c r="G97" s="13">
        <f t="shared" si="19"/>
        <v>198435.44</v>
      </c>
      <c r="H97" s="13">
        <f>19000</f>
        <v>19000</v>
      </c>
      <c r="I97" s="15">
        <f t="shared" si="20"/>
        <v>179435.44</v>
      </c>
      <c r="J97" s="15">
        <f t="shared" si="16"/>
        <v>4979886</v>
      </c>
      <c r="K97" s="15">
        <f t="shared" si="17"/>
        <v>211114</v>
      </c>
      <c r="L97" s="47">
        <f t="shared" si="18"/>
        <v>95.933076478520519</v>
      </c>
    </row>
    <row r="98" spans="1:12" s="52" customFormat="1" ht="23.25">
      <c r="A98" s="51">
        <v>3</v>
      </c>
      <c r="B98" s="27" t="s">
        <v>116</v>
      </c>
      <c r="C98" s="53">
        <v>2800000</v>
      </c>
      <c r="D98" s="15">
        <v>0</v>
      </c>
      <c r="E98" s="15">
        <f>1605238+757776</f>
        <v>2363014</v>
      </c>
      <c r="F98" s="15">
        <f t="shared" si="15"/>
        <v>2363014</v>
      </c>
      <c r="G98" s="15">
        <f t="shared" si="19"/>
        <v>94520.56</v>
      </c>
      <c r="H98" s="15">
        <v>0</v>
      </c>
      <c r="I98" s="15">
        <f t="shared" si="20"/>
        <v>94520.56</v>
      </c>
      <c r="J98" s="15">
        <f t="shared" si="16"/>
        <v>2363014</v>
      </c>
      <c r="K98" s="15">
        <f t="shared" si="17"/>
        <v>436986</v>
      </c>
      <c r="L98" s="49">
        <f t="shared" si="18"/>
        <v>84.393357142857141</v>
      </c>
    </row>
    <row r="99" spans="1:12" s="52" customFormat="1" ht="23.25">
      <c r="A99" s="51">
        <v>4</v>
      </c>
      <c r="B99" s="27" t="s">
        <v>117</v>
      </c>
      <c r="C99" s="53">
        <v>1050000</v>
      </c>
      <c r="D99" s="15">
        <v>0</v>
      </c>
      <c r="E99" s="15">
        <v>874424</v>
      </c>
      <c r="F99" s="15">
        <f t="shared" si="15"/>
        <v>874424</v>
      </c>
      <c r="G99" s="15">
        <f t="shared" si="19"/>
        <v>34976.959999999999</v>
      </c>
      <c r="H99" s="15">
        <v>13800</v>
      </c>
      <c r="I99" s="15">
        <f t="shared" si="20"/>
        <v>21176.959999999999</v>
      </c>
      <c r="J99" s="15">
        <f t="shared" si="16"/>
        <v>888224</v>
      </c>
      <c r="K99" s="15">
        <f t="shared" si="17"/>
        <v>161776</v>
      </c>
      <c r="L99" s="49">
        <f t="shared" si="18"/>
        <v>84.5927619047619</v>
      </c>
    </row>
    <row r="100" spans="1:12" ht="23.25">
      <c r="A100" s="24">
        <v>5</v>
      </c>
      <c r="B100" s="27" t="s">
        <v>118</v>
      </c>
      <c r="C100" s="7">
        <v>1000</v>
      </c>
      <c r="D100" s="13">
        <v>0</v>
      </c>
      <c r="E100" s="15">
        <v>0</v>
      </c>
      <c r="F100" s="13">
        <f t="shared" si="15"/>
        <v>0</v>
      </c>
      <c r="G100" s="13">
        <f t="shared" si="19"/>
        <v>0</v>
      </c>
      <c r="H100" s="13">
        <v>0</v>
      </c>
      <c r="I100" s="15">
        <f t="shared" si="20"/>
        <v>0</v>
      </c>
      <c r="J100" s="15">
        <f t="shared" si="16"/>
        <v>0</v>
      </c>
      <c r="K100" s="15">
        <f t="shared" si="17"/>
        <v>1000</v>
      </c>
      <c r="L100" s="47">
        <f t="shared" si="18"/>
        <v>0</v>
      </c>
    </row>
    <row r="101" spans="1:12" ht="27" customHeight="1">
      <c r="A101" s="24">
        <v>6</v>
      </c>
      <c r="B101" s="27" t="s">
        <v>119</v>
      </c>
      <c r="C101" s="7">
        <v>1500000</v>
      </c>
      <c r="D101" s="13">
        <v>0</v>
      </c>
      <c r="E101" s="15">
        <f>734101+755591</f>
        <v>1489692</v>
      </c>
      <c r="F101" s="13">
        <f t="shared" si="15"/>
        <v>1489692</v>
      </c>
      <c r="G101" s="13">
        <f t="shared" si="19"/>
        <v>59587.68</v>
      </c>
      <c r="H101" s="13">
        <v>0</v>
      </c>
      <c r="I101" s="15">
        <f t="shared" si="20"/>
        <v>59587.68</v>
      </c>
      <c r="J101" s="15">
        <f t="shared" si="16"/>
        <v>1489692</v>
      </c>
      <c r="K101" s="15">
        <f t="shared" si="17"/>
        <v>10308</v>
      </c>
      <c r="L101" s="47">
        <f t="shared" si="18"/>
        <v>99.312799999999996</v>
      </c>
    </row>
    <row r="102" spans="1:12" ht="23.25">
      <c r="A102" s="24">
        <v>7</v>
      </c>
      <c r="B102" s="27" t="s">
        <v>120</v>
      </c>
      <c r="C102" s="7">
        <v>1000</v>
      </c>
      <c r="D102" s="13">
        <v>0</v>
      </c>
      <c r="E102" s="15">
        <v>0</v>
      </c>
      <c r="F102" s="13">
        <f t="shared" si="15"/>
        <v>0</v>
      </c>
      <c r="G102" s="13">
        <f t="shared" si="19"/>
        <v>0</v>
      </c>
      <c r="H102" s="13">
        <v>0</v>
      </c>
      <c r="I102" s="15">
        <f t="shared" si="20"/>
        <v>0</v>
      </c>
      <c r="J102" s="15">
        <f t="shared" si="16"/>
        <v>0</v>
      </c>
      <c r="K102" s="15">
        <f t="shared" si="17"/>
        <v>1000</v>
      </c>
      <c r="L102" s="47">
        <f t="shared" si="18"/>
        <v>0</v>
      </c>
    </row>
    <row r="103" spans="1:12" ht="23.25">
      <c r="A103" s="24">
        <v>8</v>
      </c>
      <c r="B103" s="27" t="s">
        <v>121</v>
      </c>
      <c r="C103" s="7">
        <v>1000</v>
      </c>
      <c r="D103" s="13">
        <v>0</v>
      </c>
      <c r="E103" s="15">
        <v>0</v>
      </c>
      <c r="F103" s="13">
        <f t="shared" si="15"/>
        <v>0</v>
      </c>
      <c r="G103" s="13">
        <f t="shared" si="19"/>
        <v>0</v>
      </c>
      <c r="H103" s="13">
        <v>0</v>
      </c>
      <c r="I103" s="15">
        <f t="shared" si="20"/>
        <v>0</v>
      </c>
      <c r="J103" s="15">
        <f t="shared" si="16"/>
        <v>0</v>
      </c>
      <c r="K103" s="15">
        <f t="shared" si="17"/>
        <v>1000</v>
      </c>
      <c r="L103" s="47">
        <f t="shared" si="18"/>
        <v>0</v>
      </c>
    </row>
    <row r="104" spans="1:12" ht="24.75" customHeight="1">
      <c r="A104" s="24">
        <v>9</v>
      </c>
      <c r="B104" s="27" t="s">
        <v>122</v>
      </c>
      <c r="C104" s="7">
        <v>200000</v>
      </c>
      <c r="D104" s="13">
        <v>0</v>
      </c>
      <c r="E104" s="15">
        <v>0</v>
      </c>
      <c r="F104" s="13">
        <f t="shared" si="15"/>
        <v>0</v>
      </c>
      <c r="G104" s="13">
        <f t="shared" si="19"/>
        <v>0</v>
      </c>
      <c r="H104" s="13">
        <v>0</v>
      </c>
      <c r="I104" s="15">
        <f t="shared" si="20"/>
        <v>0</v>
      </c>
      <c r="J104" s="15">
        <f t="shared" si="16"/>
        <v>0</v>
      </c>
      <c r="K104" s="15">
        <f t="shared" si="17"/>
        <v>200000</v>
      </c>
      <c r="L104" s="47">
        <f t="shared" si="18"/>
        <v>0</v>
      </c>
    </row>
    <row r="105" spans="1:12" ht="26.25" customHeight="1">
      <c r="A105" s="24">
        <v>10</v>
      </c>
      <c r="B105" s="27" t="s">
        <v>123</v>
      </c>
      <c r="C105" s="7">
        <v>600000</v>
      </c>
      <c r="D105" s="13">
        <v>0</v>
      </c>
      <c r="E105" s="15">
        <v>0</v>
      </c>
      <c r="F105" s="13">
        <f t="shared" si="15"/>
        <v>0</v>
      </c>
      <c r="G105" s="13">
        <f t="shared" si="19"/>
        <v>0</v>
      </c>
      <c r="H105" s="13">
        <v>0</v>
      </c>
      <c r="I105" s="15">
        <f t="shared" si="20"/>
        <v>0</v>
      </c>
      <c r="J105" s="15">
        <f t="shared" si="16"/>
        <v>0</v>
      </c>
      <c r="K105" s="15">
        <f t="shared" si="17"/>
        <v>600000</v>
      </c>
      <c r="L105" s="47">
        <f t="shared" si="18"/>
        <v>0</v>
      </c>
    </row>
    <row r="106" spans="1:12" ht="28.5" customHeight="1">
      <c r="A106" s="24">
        <v>11</v>
      </c>
      <c r="B106" s="27" t="s">
        <v>124</v>
      </c>
      <c r="C106" s="7">
        <v>1000</v>
      </c>
      <c r="D106" s="13">
        <v>0</v>
      </c>
      <c r="E106" s="15">
        <v>0</v>
      </c>
      <c r="F106" s="13">
        <f t="shared" si="15"/>
        <v>0</v>
      </c>
      <c r="G106" s="13">
        <f t="shared" si="19"/>
        <v>0</v>
      </c>
      <c r="H106" s="13">
        <v>0</v>
      </c>
      <c r="I106" s="15">
        <f t="shared" si="20"/>
        <v>0</v>
      </c>
      <c r="J106" s="15">
        <f t="shared" si="16"/>
        <v>0</v>
      </c>
      <c r="K106" s="15">
        <f t="shared" si="17"/>
        <v>1000</v>
      </c>
      <c r="L106" s="47">
        <f t="shared" si="18"/>
        <v>0</v>
      </c>
    </row>
    <row r="107" spans="1:12" ht="26.25" customHeight="1">
      <c r="A107" s="24">
        <v>12</v>
      </c>
      <c r="B107" s="27" t="s">
        <v>125</v>
      </c>
      <c r="C107" s="7">
        <v>1000</v>
      </c>
      <c r="D107" s="13">
        <v>0</v>
      </c>
      <c r="E107" s="15">
        <v>0</v>
      </c>
      <c r="F107" s="13">
        <f t="shared" si="15"/>
        <v>0</v>
      </c>
      <c r="G107" s="13">
        <f t="shared" si="19"/>
        <v>0</v>
      </c>
      <c r="H107" s="13">
        <v>0</v>
      </c>
      <c r="I107" s="15">
        <f t="shared" si="20"/>
        <v>0</v>
      </c>
      <c r="J107" s="15">
        <f t="shared" si="16"/>
        <v>0</v>
      </c>
      <c r="K107" s="15">
        <f t="shared" si="17"/>
        <v>1000</v>
      </c>
      <c r="L107" s="47">
        <f t="shared" si="18"/>
        <v>0</v>
      </c>
    </row>
    <row r="108" spans="1:12" ht="29.25" customHeight="1">
      <c r="A108" s="24">
        <v>13</v>
      </c>
      <c r="B108" s="27" t="s">
        <v>126</v>
      </c>
      <c r="C108" s="7">
        <v>1000</v>
      </c>
      <c r="D108" s="13">
        <v>0</v>
      </c>
      <c r="E108" s="15">
        <v>0</v>
      </c>
      <c r="F108" s="13">
        <f t="shared" si="15"/>
        <v>0</v>
      </c>
      <c r="G108" s="13">
        <f t="shared" si="19"/>
        <v>0</v>
      </c>
      <c r="H108" s="13">
        <v>0</v>
      </c>
      <c r="I108" s="15">
        <f t="shared" si="20"/>
        <v>0</v>
      </c>
      <c r="J108" s="15">
        <f t="shared" si="16"/>
        <v>0</v>
      </c>
      <c r="K108" s="15">
        <f t="shared" si="17"/>
        <v>1000</v>
      </c>
      <c r="L108" s="47">
        <f t="shared" si="18"/>
        <v>0</v>
      </c>
    </row>
    <row r="109" spans="1:12" s="6" customFormat="1" ht="29.25" customHeight="1">
      <c r="A109" s="24">
        <v>14</v>
      </c>
      <c r="B109" s="27" t="s">
        <v>127</v>
      </c>
      <c r="C109" s="13">
        <v>1000</v>
      </c>
      <c r="D109" s="13">
        <v>0</v>
      </c>
      <c r="E109" s="15">
        <v>0</v>
      </c>
      <c r="F109" s="13">
        <f t="shared" si="15"/>
        <v>0</v>
      </c>
      <c r="G109" s="13">
        <f t="shared" si="19"/>
        <v>0</v>
      </c>
      <c r="H109" s="13">
        <v>0</v>
      </c>
      <c r="I109" s="15">
        <f t="shared" si="20"/>
        <v>0</v>
      </c>
      <c r="J109" s="15">
        <f t="shared" si="16"/>
        <v>0</v>
      </c>
      <c r="K109" s="15">
        <f t="shared" si="17"/>
        <v>1000</v>
      </c>
      <c r="L109" s="47">
        <f t="shared" si="18"/>
        <v>0</v>
      </c>
    </row>
    <row r="110" spans="1:12" s="6" customFormat="1" ht="46.5">
      <c r="A110" s="24">
        <v>15</v>
      </c>
      <c r="B110" s="27" t="s">
        <v>128</v>
      </c>
      <c r="C110" s="13">
        <v>200000</v>
      </c>
      <c r="D110" s="13">
        <v>0</v>
      </c>
      <c r="E110" s="15">
        <v>0</v>
      </c>
      <c r="F110" s="13">
        <f t="shared" si="15"/>
        <v>0</v>
      </c>
      <c r="G110" s="13">
        <f t="shared" si="19"/>
        <v>0</v>
      </c>
      <c r="H110" s="13">
        <v>0</v>
      </c>
      <c r="I110" s="15">
        <f t="shared" si="20"/>
        <v>0</v>
      </c>
      <c r="J110" s="15">
        <f t="shared" si="16"/>
        <v>0</v>
      </c>
      <c r="K110" s="15">
        <f t="shared" si="17"/>
        <v>200000</v>
      </c>
      <c r="L110" s="47">
        <f t="shared" si="18"/>
        <v>0</v>
      </c>
    </row>
    <row r="111" spans="1:12" s="6" customFormat="1" ht="46.5">
      <c r="A111" s="24">
        <v>16</v>
      </c>
      <c r="B111" s="27" t="s">
        <v>129</v>
      </c>
      <c r="C111" s="13">
        <v>500000</v>
      </c>
      <c r="D111" s="13">
        <v>0</v>
      </c>
      <c r="E111" s="15">
        <v>480305</v>
      </c>
      <c r="F111" s="13">
        <f t="shared" si="15"/>
        <v>480305</v>
      </c>
      <c r="G111" s="13">
        <f t="shared" si="19"/>
        <v>19212.2</v>
      </c>
      <c r="H111" s="13">
        <v>0</v>
      </c>
      <c r="I111" s="15">
        <f t="shared" si="20"/>
        <v>19212.2</v>
      </c>
      <c r="J111" s="15">
        <f t="shared" si="16"/>
        <v>480305</v>
      </c>
      <c r="K111" s="15">
        <f t="shared" si="17"/>
        <v>19695</v>
      </c>
      <c r="L111" s="47">
        <f t="shared" si="18"/>
        <v>96.060999999999993</v>
      </c>
    </row>
    <row r="112" spans="1:12" ht="23.25">
      <c r="A112" s="24">
        <v>17</v>
      </c>
      <c r="B112" s="27" t="s">
        <v>130</v>
      </c>
      <c r="C112" s="7">
        <v>1000</v>
      </c>
      <c r="D112" s="13">
        <v>0</v>
      </c>
      <c r="E112" s="15">
        <v>0</v>
      </c>
      <c r="F112" s="13">
        <f t="shared" si="15"/>
        <v>0</v>
      </c>
      <c r="G112" s="13">
        <f t="shared" si="19"/>
        <v>0</v>
      </c>
      <c r="H112" s="13">
        <v>0</v>
      </c>
      <c r="I112" s="15">
        <f t="shared" si="20"/>
        <v>0</v>
      </c>
      <c r="J112" s="15">
        <f t="shared" si="16"/>
        <v>0</v>
      </c>
      <c r="K112" s="15">
        <f t="shared" si="17"/>
        <v>1000</v>
      </c>
      <c r="L112" s="47">
        <f t="shared" si="18"/>
        <v>0</v>
      </c>
    </row>
    <row r="113" spans="1:12" s="6" customFormat="1" ht="46.5">
      <c r="A113" s="24">
        <v>18</v>
      </c>
      <c r="B113" s="27" t="s">
        <v>131</v>
      </c>
      <c r="C113" s="13">
        <v>3000000</v>
      </c>
      <c r="D113" s="13">
        <v>0</v>
      </c>
      <c r="E113" s="15">
        <f>971028+1055700+346368+509630</f>
        <v>2882726</v>
      </c>
      <c r="F113" s="13">
        <f t="shared" si="15"/>
        <v>2882726</v>
      </c>
      <c r="G113" s="13">
        <f t="shared" si="19"/>
        <v>115309.04000000001</v>
      </c>
      <c r="H113" s="13">
        <v>0</v>
      </c>
      <c r="I113" s="15">
        <f t="shared" si="20"/>
        <v>115309.04000000001</v>
      </c>
      <c r="J113" s="15">
        <f t="shared" si="16"/>
        <v>2882726</v>
      </c>
      <c r="K113" s="15">
        <f t="shared" si="17"/>
        <v>117274</v>
      </c>
      <c r="L113" s="47">
        <f t="shared" si="18"/>
        <v>96.09086666666667</v>
      </c>
    </row>
    <row r="114" spans="1:12" s="14" customFormat="1" ht="22.5" customHeight="1">
      <c r="A114" s="577" t="s">
        <v>0</v>
      </c>
      <c r="B114" s="578"/>
      <c r="C114" s="33">
        <f>C9+C14+C26+C95</f>
        <v>114000000</v>
      </c>
      <c r="D114" s="33">
        <f t="shared" ref="D114:K114" si="22">D9+D14+D26+D95</f>
        <v>36202589</v>
      </c>
      <c r="E114" s="33">
        <f t="shared" si="22"/>
        <v>55277082</v>
      </c>
      <c r="F114" s="33">
        <f t="shared" si="22"/>
        <v>91479671</v>
      </c>
      <c r="G114" s="33">
        <f t="shared" si="22"/>
        <v>3578521.4000000004</v>
      </c>
      <c r="H114" s="33">
        <f t="shared" si="22"/>
        <v>1749023</v>
      </c>
      <c r="I114" s="33">
        <f t="shared" si="22"/>
        <v>1829498.4</v>
      </c>
      <c r="J114" s="33">
        <f t="shared" si="22"/>
        <v>93228694</v>
      </c>
      <c r="K114" s="33">
        <f t="shared" si="22"/>
        <v>20771306</v>
      </c>
      <c r="L114" s="47">
        <f t="shared" si="18"/>
        <v>81.779556140350877</v>
      </c>
    </row>
    <row r="118" spans="1:12">
      <c r="I118" s="1" t="s">
        <v>162</v>
      </c>
      <c r="K118" s="1">
        <v>65985865</v>
      </c>
    </row>
    <row r="119" spans="1:12">
      <c r="I119" s="1">
        <v>29</v>
      </c>
      <c r="J119" s="1">
        <v>749637</v>
      </c>
    </row>
    <row r="120" spans="1:12">
      <c r="I120" s="1">
        <v>30</v>
      </c>
      <c r="J120" s="1">
        <v>2425771</v>
      </c>
    </row>
    <row r="121" spans="1:12">
      <c r="I121" s="1">
        <v>31</v>
      </c>
      <c r="J121" s="1">
        <v>1694582</v>
      </c>
    </row>
    <row r="122" spans="1:12">
      <c r="I122" s="1">
        <v>32</v>
      </c>
      <c r="J122" s="1">
        <v>626798</v>
      </c>
    </row>
    <row r="123" spans="1:12">
      <c r="I123" s="1">
        <v>33</v>
      </c>
      <c r="J123" s="1">
        <v>570730</v>
      </c>
    </row>
    <row r="124" spans="1:12">
      <c r="I124" s="1">
        <v>34</v>
      </c>
      <c r="J124" s="1">
        <v>11499351</v>
      </c>
    </row>
    <row r="125" spans="1:12">
      <c r="I125" s="1">
        <v>35</v>
      </c>
      <c r="J125" s="1">
        <v>2498587</v>
      </c>
    </row>
    <row r="126" spans="1:12">
      <c r="I126" s="1">
        <v>36</v>
      </c>
      <c r="J126" s="1">
        <v>3621707</v>
      </c>
    </row>
    <row r="127" spans="1:12">
      <c r="I127" s="1">
        <v>37</v>
      </c>
      <c r="J127" s="1">
        <v>3575170</v>
      </c>
    </row>
    <row r="128" spans="1:12">
      <c r="I128" s="1">
        <v>38</v>
      </c>
      <c r="J128" s="1">
        <v>4585</v>
      </c>
    </row>
    <row r="129" spans="9:10">
      <c r="I129" s="1">
        <v>39</v>
      </c>
      <c r="J129" s="1">
        <v>-24089</v>
      </c>
    </row>
    <row r="130" spans="9:10">
      <c r="I130" s="1" t="s">
        <v>160</v>
      </c>
      <c r="J130" s="1">
        <f>SUM(J118:J129)</f>
        <v>27242829</v>
      </c>
    </row>
    <row r="131" spans="9:10">
      <c r="I131" s="1" t="s">
        <v>172</v>
      </c>
      <c r="J131" s="1">
        <f>K118+J130</f>
        <v>93228694</v>
      </c>
    </row>
    <row r="132" spans="9:10">
      <c r="I132" s="1" t="s">
        <v>170</v>
      </c>
      <c r="J132" s="46">
        <f>J114</f>
        <v>93228694</v>
      </c>
    </row>
    <row r="133" spans="9:10">
      <c r="I133" s="1" t="s">
        <v>171</v>
      </c>
      <c r="J133" s="46">
        <f>J131-J132</f>
        <v>0</v>
      </c>
    </row>
    <row r="134" spans="9:10">
      <c r="J134" s="46"/>
    </row>
    <row r="135" spans="9:10">
      <c r="J135" s="46"/>
    </row>
  </sheetData>
  <mergeCells count="16">
    <mergeCell ref="J7:J8"/>
    <mergeCell ref="K7:K8"/>
    <mergeCell ref="L7:L8"/>
    <mergeCell ref="A114:B114"/>
    <mergeCell ref="A6:B6"/>
    <mergeCell ref="A7:A8"/>
    <mergeCell ref="B7:B8"/>
    <mergeCell ref="C7:C8"/>
    <mergeCell ref="D7:F7"/>
    <mergeCell ref="G7:I7"/>
    <mergeCell ref="A1:F1"/>
    <mergeCell ref="A2:L2"/>
    <mergeCell ref="A3:L3"/>
    <mergeCell ref="A5:B5"/>
    <mergeCell ref="D5:F5"/>
    <mergeCell ref="A4:L4"/>
  </mergeCells>
  <pageMargins left="0.24" right="0.16" top="0.3" bottom="0.19" header="0.2" footer="0.19"/>
  <pageSetup paperSize="9" scale="7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52"/>
  <sheetViews>
    <sheetView topLeftCell="B1" zoomScaleNormal="100" workbookViewId="0">
      <selection activeCell="B17" sqref="A17:AB20"/>
    </sheetView>
  </sheetViews>
  <sheetFormatPr defaultRowHeight="12.75"/>
  <cols>
    <col min="1" max="1" width="12.5703125" customWidth="1"/>
    <col min="2" max="2" width="61.85546875" customWidth="1"/>
    <col min="5" max="10" width="0" hidden="1" customWidth="1"/>
    <col min="14" max="18" width="0" hidden="1" customWidth="1"/>
    <col min="21" max="21" width="8.85546875" style="71"/>
  </cols>
  <sheetData>
    <row r="1" spans="1:28" ht="15" customHeight="1">
      <c r="A1" s="585" t="s">
        <v>173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row>
    <row r="2" spans="1:28" ht="15.75" customHeight="1">
      <c r="A2" s="586" t="s">
        <v>460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row>
    <row r="3" spans="1:28" ht="18">
      <c r="A3" s="69"/>
      <c r="B3" s="69"/>
      <c r="C3" s="69"/>
      <c r="D3" s="69"/>
      <c r="E3" s="69"/>
      <c r="F3" s="69"/>
      <c r="G3" s="69"/>
      <c r="H3" s="69"/>
      <c r="I3" s="69"/>
      <c r="J3" s="69"/>
      <c r="K3" s="70"/>
      <c r="L3" s="70"/>
      <c r="M3" s="70"/>
      <c r="N3" s="70"/>
      <c r="O3" s="71"/>
      <c r="P3" s="71"/>
      <c r="Q3" s="69"/>
      <c r="R3" s="72"/>
      <c r="S3" s="72"/>
      <c r="T3" s="72"/>
      <c r="U3" s="72"/>
      <c r="V3" s="72"/>
      <c r="W3" s="72"/>
      <c r="X3" s="69"/>
      <c r="Y3" s="70"/>
      <c r="Z3" s="70"/>
      <c r="AA3" s="70"/>
      <c r="AB3" s="70"/>
    </row>
    <row r="4" spans="1:28" ht="15">
      <c r="A4" s="73" t="s">
        <v>174</v>
      </c>
      <c r="B4" s="73"/>
      <c r="C4" s="74"/>
      <c r="D4" s="74"/>
      <c r="E4" s="74"/>
      <c r="F4" s="74"/>
      <c r="G4" s="74"/>
      <c r="H4" s="74"/>
      <c r="I4" s="74"/>
      <c r="J4" s="74"/>
      <c r="K4" s="75"/>
      <c r="L4" s="75"/>
      <c r="M4" s="75"/>
      <c r="N4" s="71"/>
      <c r="O4" s="71"/>
      <c r="P4" s="71"/>
      <c r="Q4" s="71"/>
      <c r="R4" s="71"/>
      <c r="S4" s="76" t="s">
        <v>175</v>
      </c>
      <c r="T4" s="71"/>
      <c r="U4" s="75"/>
      <c r="V4" s="77">
        <f>'337030114'!J114/100000</f>
        <v>932.28693999999996</v>
      </c>
      <c r="W4" s="176">
        <v>331.31</v>
      </c>
      <c r="X4" s="588"/>
      <c r="Y4" s="588"/>
      <c r="Z4" s="74"/>
      <c r="AA4" s="74"/>
    </row>
    <row r="5" spans="1:28" ht="15">
      <c r="A5" s="78" t="s">
        <v>176</v>
      </c>
      <c r="B5" s="73"/>
      <c r="C5" s="74"/>
      <c r="D5" s="74"/>
      <c r="E5" s="74"/>
      <c r="F5" s="74"/>
      <c r="G5" s="74"/>
      <c r="H5" s="74"/>
      <c r="I5" s="74"/>
      <c r="J5" s="74"/>
      <c r="K5" s="75"/>
      <c r="L5" s="75"/>
      <c r="M5" s="75"/>
      <c r="N5" s="71"/>
      <c r="O5" s="71"/>
      <c r="P5" s="71"/>
      <c r="Q5" s="75"/>
      <c r="R5" s="75"/>
      <c r="S5" s="76" t="s">
        <v>177</v>
      </c>
      <c r="T5" s="75"/>
      <c r="U5" s="75"/>
      <c r="V5" s="75"/>
      <c r="W5" s="74"/>
      <c r="X5" s="74"/>
      <c r="Y5" s="74"/>
      <c r="Z5" s="74"/>
      <c r="AA5" s="74"/>
    </row>
    <row r="6" spans="1:28" ht="15">
      <c r="A6" s="73" t="s">
        <v>178</v>
      </c>
      <c r="B6" s="73"/>
      <c r="C6" s="74"/>
      <c r="D6" s="74"/>
      <c r="E6" s="74"/>
      <c r="F6" s="74"/>
      <c r="G6" s="74"/>
      <c r="H6" s="74"/>
      <c r="I6" s="74"/>
      <c r="J6" s="74"/>
      <c r="K6" s="75"/>
      <c r="L6" s="75"/>
      <c r="M6" s="75"/>
      <c r="N6" s="71"/>
      <c r="O6" s="71"/>
      <c r="P6" s="71"/>
      <c r="Q6" s="71"/>
      <c r="R6" s="76" t="s">
        <v>179</v>
      </c>
      <c r="S6" s="71"/>
      <c r="T6" s="71"/>
      <c r="V6" s="75"/>
      <c r="W6" s="74"/>
      <c r="X6" s="74"/>
      <c r="Y6" s="74"/>
      <c r="Z6" s="74"/>
      <c r="AA6" s="74"/>
    </row>
    <row r="7" spans="1:28" ht="15">
      <c r="A7" s="73" t="s">
        <v>180</v>
      </c>
      <c r="B7" s="73"/>
      <c r="C7" s="74"/>
      <c r="D7" s="74"/>
      <c r="E7" s="74"/>
      <c r="F7" s="74"/>
      <c r="G7" s="74"/>
      <c r="H7" s="74"/>
      <c r="I7" s="74"/>
      <c r="J7" s="74"/>
      <c r="K7" s="75"/>
      <c r="L7" s="75"/>
      <c r="M7" s="75"/>
      <c r="N7" s="71"/>
      <c r="O7" s="76"/>
      <c r="P7" s="71"/>
      <c r="Q7" s="75"/>
      <c r="R7" s="75"/>
      <c r="S7" s="75"/>
      <c r="T7" s="75"/>
      <c r="U7" s="75"/>
      <c r="V7" s="75"/>
      <c r="W7" s="74"/>
      <c r="X7" s="74"/>
      <c r="Y7" s="74"/>
      <c r="Z7" s="74"/>
      <c r="AA7" s="74"/>
    </row>
    <row r="8" spans="1:28" ht="15">
      <c r="A8" s="73" t="s">
        <v>181</v>
      </c>
      <c r="B8" s="73"/>
      <c r="C8" s="74"/>
      <c r="D8" s="74"/>
      <c r="E8" s="74"/>
      <c r="F8" s="74"/>
      <c r="G8" s="74"/>
      <c r="H8" s="74"/>
      <c r="I8" s="74"/>
      <c r="J8" s="74"/>
      <c r="K8" s="75"/>
      <c r="L8" s="75"/>
      <c r="M8" s="75"/>
      <c r="N8" s="71"/>
      <c r="O8" s="71"/>
      <c r="P8" s="71"/>
      <c r="Q8" s="71"/>
      <c r="R8" s="76" t="s">
        <v>182</v>
      </c>
      <c r="S8" s="71"/>
      <c r="T8" s="75"/>
      <c r="U8" s="75"/>
      <c r="V8" s="75"/>
      <c r="W8" s="74"/>
      <c r="X8" s="74"/>
      <c r="Y8" s="74"/>
      <c r="Z8" s="74"/>
      <c r="AA8" s="74"/>
    </row>
    <row r="9" spans="1:28" ht="15">
      <c r="A9" s="73" t="s">
        <v>183</v>
      </c>
      <c r="B9" s="73"/>
      <c r="C9" s="74"/>
      <c r="D9" s="74"/>
      <c r="E9" s="74"/>
      <c r="F9" s="74"/>
      <c r="G9" s="74"/>
      <c r="H9" s="74"/>
      <c r="I9" s="74"/>
      <c r="J9" s="74"/>
      <c r="K9" s="75"/>
      <c r="L9" s="75"/>
      <c r="M9" s="75"/>
      <c r="N9" s="71"/>
      <c r="O9" s="76"/>
      <c r="P9" s="71"/>
      <c r="Q9" s="75"/>
      <c r="R9" s="75"/>
      <c r="S9" s="75"/>
      <c r="T9" s="75"/>
      <c r="U9" s="75"/>
      <c r="V9" s="75"/>
      <c r="W9" s="74"/>
      <c r="X9" s="74"/>
      <c r="Y9" s="74"/>
      <c r="Z9" s="74"/>
      <c r="AA9" s="74"/>
    </row>
    <row r="10" spans="1:28" ht="15">
      <c r="A10" s="73" t="s">
        <v>184</v>
      </c>
      <c r="B10" s="73"/>
      <c r="C10" s="74"/>
      <c r="D10" s="74"/>
      <c r="E10" s="74"/>
      <c r="F10" s="74"/>
      <c r="G10" s="74"/>
      <c r="H10" s="74"/>
      <c r="I10" s="74"/>
      <c r="J10" s="74"/>
      <c r="K10" s="75"/>
      <c r="L10" s="75"/>
      <c r="M10" s="75"/>
      <c r="N10" s="71"/>
      <c r="O10" s="71"/>
      <c r="P10" s="71"/>
      <c r="Q10" s="71"/>
      <c r="R10" s="75"/>
      <c r="S10" s="76" t="s">
        <v>185</v>
      </c>
      <c r="T10" s="71"/>
      <c r="U10" s="75"/>
      <c r="V10" s="75"/>
      <c r="W10" s="74"/>
      <c r="X10" s="74"/>
      <c r="Y10" s="74"/>
      <c r="Z10" s="74"/>
      <c r="AA10" s="74"/>
    </row>
    <row r="11" spans="1:28" ht="15">
      <c r="A11" s="73" t="s">
        <v>186</v>
      </c>
      <c r="B11" s="73"/>
      <c r="C11" s="589">
        <f>M145</f>
        <v>1139.9999999999995</v>
      </c>
      <c r="D11" s="589"/>
      <c r="E11" s="79"/>
      <c r="F11" s="79"/>
      <c r="G11" s="79"/>
      <c r="H11" s="79"/>
      <c r="I11" s="79"/>
      <c r="J11" s="79"/>
      <c r="K11" s="75"/>
      <c r="L11" s="75"/>
      <c r="M11" s="75"/>
      <c r="N11" s="71"/>
      <c r="O11" s="71"/>
      <c r="P11" s="71"/>
      <c r="Q11" s="71"/>
      <c r="R11" s="75"/>
      <c r="S11" s="76" t="s">
        <v>187</v>
      </c>
      <c r="T11" s="71"/>
      <c r="U11" s="75"/>
      <c r="V11" s="75"/>
      <c r="W11" s="74"/>
      <c r="X11" s="74"/>
      <c r="Y11" s="74"/>
      <c r="Z11" s="74"/>
      <c r="AA11" s="74"/>
    </row>
    <row r="12" spans="1:28" ht="15">
      <c r="A12" s="80" t="s">
        <v>188</v>
      </c>
      <c r="B12" s="73"/>
      <c r="C12" s="589">
        <f>C11</f>
        <v>1139.9999999999995</v>
      </c>
      <c r="D12" s="589"/>
      <c r="E12" s="79"/>
      <c r="F12" s="79"/>
      <c r="G12" s="79"/>
      <c r="H12" s="79"/>
      <c r="I12" s="79"/>
      <c r="J12" s="79"/>
      <c r="K12" s="75"/>
      <c r="L12" s="75"/>
      <c r="M12" s="75"/>
      <c r="N12" s="71"/>
      <c r="O12" s="71"/>
      <c r="P12" s="71"/>
      <c r="Q12" s="75"/>
      <c r="R12" s="75"/>
      <c r="S12" s="76" t="s">
        <v>189</v>
      </c>
      <c r="T12" s="75"/>
      <c r="U12" s="75"/>
      <c r="V12" s="75"/>
      <c r="W12" s="74"/>
      <c r="X12" s="74"/>
      <c r="Y12" s="74"/>
      <c r="Z12" s="74"/>
      <c r="AB12" s="82">
        <f>V4/C11*100</f>
        <v>81.779556140350905</v>
      </c>
    </row>
    <row r="13" spans="1:28" ht="15">
      <c r="A13" s="73" t="s">
        <v>190</v>
      </c>
      <c r="B13" s="73"/>
      <c r="C13" s="74"/>
      <c r="D13" s="74"/>
      <c r="E13" s="74"/>
      <c r="F13" s="74"/>
      <c r="G13" s="74"/>
      <c r="H13" s="74"/>
      <c r="I13" s="74"/>
      <c r="J13" s="74"/>
      <c r="K13" s="75"/>
      <c r="L13" s="75"/>
      <c r="M13" s="75"/>
      <c r="N13" s="71"/>
      <c r="O13" s="71"/>
      <c r="P13" s="71"/>
      <c r="Q13" s="75"/>
      <c r="R13" s="75"/>
      <c r="S13" s="76" t="s">
        <v>191</v>
      </c>
      <c r="T13" s="75"/>
      <c r="U13" s="75"/>
      <c r="V13" s="75"/>
      <c r="W13" s="74"/>
      <c r="X13" s="74"/>
      <c r="Y13" s="74"/>
      <c r="Z13" s="74"/>
      <c r="AB13" s="82">
        <f>V4/M146*100</f>
        <v>81.779556140350905</v>
      </c>
    </row>
    <row r="14" spans="1:28" ht="15">
      <c r="A14" s="73" t="s">
        <v>192</v>
      </c>
      <c r="B14" s="73"/>
      <c r="C14" s="74"/>
      <c r="D14" s="74"/>
      <c r="E14" s="74"/>
      <c r="F14" s="74"/>
      <c r="G14" s="74"/>
      <c r="H14" s="74"/>
      <c r="I14" s="74"/>
      <c r="J14" s="74"/>
      <c r="K14" s="75"/>
      <c r="L14" s="75"/>
      <c r="M14" s="75"/>
      <c r="N14" s="71"/>
      <c r="O14" s="71"/>
      <c r="P14" s="71"/>
      <c r="Q14" s="75"/>
      <c r="R14" s="75"/>
      <c r="S14" s="76" t="s">
        <v>193</v>
      </c>
      <c r="T14" s="75"/>
      <c r="U14" s="75"/>
      <c r="V14" s="75"/>
      <c r="W14" s="74"/>
      <c r="X14" s="74"/>
      <c r="Y14" s="74"/>
      <c r="Z14" s="74"/>
      <c r="AA14" s="74"/>
      <c r="AB14" s="83"/>
    </row>
    <row r="15" spans="1:28" ht="15">
      <c r="A15" s="73" t="s">
        <v>194</v>
      </c>
      <c r="B15" s="73"/>
      <c r="C15" s="74"/>
      <c r="D15" s="74"/>
      <c r="E15" s="74"/>
      <c r="F15" s="74"/>
      <c r="G15" s="74"/>
      <c r="H15" s="74"/>
      <c r="I15" s="74"/>
      <c r="J15" s="74"/>
      <c r="K15" s="75"/>
      <c r="L15" s="75"/>
      <c r="M15" s="75"/>
      <c r="N15" s="71"/>
      <c r="O15" s="71"/>
      <c r="P15" s="71"/>
      <c r="Q15" s="75"/>
      <c r="R15" s="75"/>
      <c r="S15" s="76" t="s">
        <v>195</v>
      </c>
      <c r="T15" s="75"/>
      <c r="U15" s="75"/>
      <c r="V15" s="75"/>
      <c r="W15" s="74"/>
      <c r="X15" s="74"/>
      <c r="Y15" s="74"/>
      <c r="Z15" s="74"/>
      <c r="AB15" s="84">
        <f>Y146</f>
        <v>82.697000000000017</v>
      </c>
    </row>
    <row r="16" spans="1:28" ht="15">
      <c r="A16" s="73"/>
      <c r="B16" s="73"/>
      <c r="C16" s="74"/>
      <c r="D16" s="74"/>
      <c r="E16" s="74"/>
      <c r="F16" s="74"/>
      <c r="G16" s="74"/>
      <c r="H16" s="74"/>
      <c r="I16" s="74"/>
      <c r="J16" s="74"/>
      <c r="K16" s="75"/>
      <c r="L16" s="75"/>
      <c r="M16" s="75"/>
      <c r="N16" s="75"/>
      <c r="O16" s="75"/>
      <c r="P16" s="75"/>
      <c r="Q16" s="75"/>
      <c r="R16" s="75"/>
      <c r="S16" s="75"/>
      <c r="T16" s="75"/>
      <c r="U16" s="75"/>
      <c r="V16" s="75"/>
      <c r="W16" s="74"/>
      <c r="X16" s="74"/>
      <c r="Y16" s="74"/>
      <c r="Z16" s="73" t="s">
        <v>196</v>
      </c>
      <c r="AA16" s="74"/>
    </row>
    <row r="17" spans="1:28" ht="44.25" customHeight="1">
      <c r="A17" s="595" t="s">
        <v>197</v>
      </c>
      <c r="B17" s="595" t="s">
        <v>198</v>
      </c>
      <c r="C17" s="582" t="s">
        <v>199</v>
      </c>
      <c r="D17" s="582" t="s">
        <v>200</v>
      </c>
      <c r="E17" s="584" t="s">
        <v>201</v>
      </c>
      <c r="F17" s="584"/>
      <c r="G17" s="584"/>
      <c r="H17" s="584" t="s">
        <v>202</v>
      </c>
      <c r="I17" s="584"/>
      <c r="J17" s="584"/>
      <c r="K17" s="602" t="s">
        <v>203</v>
      </c>
      <c r="L17" s="603"/>
      <c r="M17" s="604"/>
      <c r="N17" s="602" t="s">
        <v>204</v>
      </c>
      <c r="O17" s="603"/>
      <c r="P17" s="604"/>
      <c r="Q17" s="605" t="s">
        <v>205</v>
      </c>
      <c r="R17" s="606"/>
      <c r="S17" s="602" t="s">
        <v>458</v>
      </c>
      <c r="T17" s="603"/>
      <c r="U17" s="604"/>
      <c r="V17" s="605" t="s">
        <v>459</v>
      </c>
      <c r="W17" s="606"/>
      <c r="X17" s="591" t="s">
        <v>206</v>
      </c>
      <c r="Y17" s="591"/>
      <c r="Z17" s="592" t="s">
        <v>207</v>
      </c>
      <c r="AA17" s="593"/>
      <c r="AB17" s="594" t="s">
        <v>208</v>
      </c>
    </row>
    <row r="18" spans="1:28" ht="28.5" customHeight="1">
      <c r="A18" s="607"/>
      <c r="B18" s="607"/>
      <c r="C18" s="583"/>
      <c r="D18" s="583"/>
      <c r="E18" s="85" t="s">
        <v>209</v>
      </c>
      <c r="F18" s="85" t="s">
        <v>210</v>
      </c>
      <c r="G18" s="85" t="s">
        <v>211</v>
      </c>
      <c r="H18" s="85" t="s">
        <v>209</v>
      </c>
      <c r="I18" s="85" t="s">
        <v>210</v>
      </c>
      <c r="J18" s="85" t="s">
        <v>211</v>
      </c>
      <c r="K18" s="86" t="s">
        <v>209</v>
      </c>
      <c r="L18" s="86" t="s">
        <v>210</v>
      </c>
      <c r="M18" s="86" t="s">
        <v>211</v>
      </c>
      <c r="N18" s="86" t="s">
        <v>209</v>
      </c>
      <c r="O18" s="86" t="s">
        <v>210</v>
      </c>
      <c r="P18" s="86" t="s">
        <v>211</v>
      </c>
      <c r="Q18" s="86" t="s">
        <v>209</v>
      </c>
      <c r="R18" s="86" t="s">
        <v>212</v>
      </c>
      <c r="S18" s="86" t="s">
        <v>209</v>
      </c>
      <c r="T18" s="86" t="s">
        <v>210</v>
      </c>
      <c r="U18" s="86" t="s">
        <v>211</v>
      </c>
      <c r="V18" s="86" t="s">
        <v>209</v>
      </c>
      <c r="W18" s="86" t="s">
        <v>212</v>
      </c>
      <c r="X18" s="87" t="s">
        <v>209</v>
      </c>
      <c r="Y18" s="87" t="s">
        <v>212</v>
      </c>
      <c r="Z18" s="88" t="s">
        <v>213</v>
      </c>
      <c r="AA18" s="89" t="s">
        <v>214</v>
      </c>
      <c r="AB18" s="595"/>
    </row>
    <row r="19" spans="1:28" ht="15">
      <c r="A19" s="90">
        <v>1</v>
      </c>
      <c r="B19" s="90">
        <v>2</v>
      </c>
      <c r="C19" s="91"/>
      <c r="D19" s="90">
        <v>3</v>
      </c>
      <c r="E19" s="90">
        <v>4</v>
      </c>
      <c r="F19" s="90">
        <v>5</v>
      </c>
      <c r="G19" s="90">
        <v>6</v>
      </c>
      <c r="H19" s="90">
        <v>7</v>
      </c>
      <c r="I19" s="90">
        <v>8</v>
      </c>
      <c r="J19" s="90">
        <v>9</v>
      </c>
      <c r="K19" s="92">
        <v>10</v>
      </c>
      <c r="L19" s="92">
        <v>11</v>
      </c>
      <c r="M19" s="92">
        <v>12</v>
      </c>
      <c r="N19" s="92">
        <v>13</v>
      </c>
      <c r="O19" s="92">
        <v>14</v>
      </c>
      <c r="P19" s="92">
        <v>15</v>
      </c>
      <c r="Q19" s="92">
        <v>16</v>
      </c>
      <c r="R19" s="92">
        <v>17</v>
      </c>
      <c r="S19" s="92">
        <v>13</v>
      </c>
      <c r="T19" s="92">
        <v>14</v>
      </c>
      <c r="U19" s="92">
        <v>15</v>
      </c>
      <c r="V19" s="92">
        <v>16</v>
      </c>
      <c r="W19" s="90">
        <v>17</v>
      </c>
      <c r="X19" s="90">
        <v>18</v>
      </c>
      <c r="Y19" s="90">
        <v>19</v>
      </c>
      <c r="Z19" s="90">
        <v>20</v>
      </c>
      <c r="AA19" s="90">
        <v>21</v>
      </c>
      <c r="AB19" s="90">
        <v>22</v>
      </c>
    </row>
    <row r="20" spans="1:28" s="97" customFormat="1" ht="15">
      <c r="A20" s="596" t="s">
        <v>215</v>
      </c>
      <c r="B20" s="597"/>
      <c r="C20" s="93"/>
      <c r="D20" s="93"/>
      <c r="E20" s="93"/>
      <c r="F20" s="93"/>
      <c r="G20" s="93"/>
      <c r="H20" s="93"/>
      <c r="I20" s="93"/>
      <c r="J20" s="93"/>
      <c r="K20" s="94"/>
      <c r="L20" s="94"/>
      <c r="M20" s="95">
        <f>SUM(M21:M26)</f>
        <v>123.5</v>
      </c>
      <c r="N20" s="94"/>
      <c r="O20" s="94"/>
      <c r="P20" s="94"/>
      <c r="Q20" s="94"/>
      <c r="R20" s="94"/>
      <c r="S20" s="94"/>
      <c r="T20" s="94"/>
      <c r="U20" s="95">
        <f>SUM(U21:U26)</f>
        <v>101.7</v>
      </c>
      <c r="V20" s="94"/>
      <c r="W20" s="93"/>
      <c r="X20" s="93"/>
      <c r="Y20" s="93"/>
      <c r="Z20" s="93"/>
      <c r="AA20" s="93"/>
      <c r="AB20" s="96"/>
    </row>
    <row r="21" spans="1:28" s="104" customFormat="1" ht="17.25">
      <c r="A21" s="98" t="s">
        <v>216</v>
      </c>
      <c r="B21" s="99" t="s">
        <v>217</v>
      </c>
      <c r="C21" s="98">
        <v>31155</v>
      </c>
      <c r="D21" s="100" t="s">
        <v>218</v>
      </c>
      <c r="E21" s="98">
        <v>50</v>
      </c>
      <c r="F21" s="98">
        <v>0.1</v>
      </c>
      <c r="G21" s="98">
        <v>15</v>
      </c>
      <c r="H21" s="98">
        <v>0</v>
      </c>
      <c r="I21" s="98">
        <v>0</v>
      </c>
      <c r="J21" s="98">
        <v>0</v>
      </c>
      <c r="K21" s="98">
        <v>15</v>
      </c>
      <c r="L21" s="98">
        <v>0.37</v>
      </c>
      <c r="M21" s="98">
        <v>4.5</v>
      </c>
      <c r="N21" s="98">
        <v>5</v>
      </c>
      <c r="O21" s="101">
        <f>L21/K21*N21</f>
        <v>0.12333333333333334</v>
      </c>
      <c r="P21" s="98">
        <v>1.5</v>
      </c>
      <c r="Q21" s="98">
        <v>7</v>
      </c>
      <c r="R21" s="101">
        <f>O21/N21*Q21</f>
        <v>0.17266666666666666</v>
      </c>
      <c r="S21" s="101">
        <v>5</v>
      </c>
      <c r="T21" s="102">
        <v>0.12</v>
      </c>
      <c r="U21" s="101">
        <v>1.5</v>
      </c>
      <c r="V21" s="101">
        <v>5</v>
      </c>
      <c r="W21" s="103">
        <f>T21/S21*V21</f>
        <v>0.12</v>
      </c>
      <c r="X21" s="103">
        <v>15</v>
      </c>
      <c r="Y21" s="103">
        <v>0.37</v>
      </c>
      <c r="Z21" s="98"/>
      <c r="AA21" s="98"/>
      <c r="AB21" s="98"/>
    </row>
    <row r="22" spans="1:28" s="104" customFormat="1" ht="28.5">
      <c r="A22" s="105" t="s">
        <v>219</v>
      </c>
      <c r="B22" s="106" t="s">
        <v>220</v>
      </c>
      <c r="C22" s="105">
        <v>31155</v>
      </c>
      <c r="D22" s="107" t="s">
        <v>218</v>
      </c>
      <c r="E22" s="105">
        <v>50</v>
      </c>
      <c r="F22" s="105">
        <v>4.8499999999999996</v>
      </c>
      <c r="G22" s="105">
        <v>750</v>
      </c>
      <c r="H22" s="105">
        <v>0</v>
      </c>
      <c r="I22" s="105">
        <v>0</v>
      </c>
      <c r="J22" s="105">
        <v>0</v>
      </c>
      <c r="K22" s="105">
        <v>8</v>
      </c>
      <c r="L22" s="105">
        <v>1.48</v>
      </c>
      <c r="M22" s="105">
        <v>18</v>
      </c>
      <c r="N22" s="105">
        <v>4</v>
      </c>
      <c r="O22" s="108">
        <f>L22/K22*N22</f>
        <v>0.74</v>
      </c>
      <c r="P22" s="105">
        <v>9</v>
      </c>
      <c r="Q22" s="105">
        <v>0</v>
      </c>
      <c r="R22" s="105">
        <f>L22/K22*Q22</f>
        <v>0</v>
      </c>
      <c r="S22" s="105">
        <v>0</v>
      </c>
      <c r="T22" s="109">
        <v>0</v>
      </c>
      <c r="U22" s="105">
        <v>0</v>
      </c>
      <c r="V22" s="105">
        <v>6</v>
      </c>
      <c r="W22" s="110">
        <f>L22/K22*V22</f>
        <v>1.1099999999999999</v>
      </c>
      <c r="X22" s="110">
        <f t="shared" ref="X22:Y86" si="0">V22+Q22</f>
        <v>6</v>
      </c>
      <c r="Y22" s="110">
        <v>1.48</v>
      </c>
      <c r="Z22" s="105"/>
      <c r="AA22" s="105"/>
      <c r="AB22" s="105"/>
    </row>
    <row r="23" spans="1:28" s="104" customFormat="1" ht="17.25">
      <c r="A23" s="105" t="s">
        <v>221</v>
      </c>
      <c r="B23" s="106" t="s">
        <v>222</v>
      </c>
      <c r="C23" s="105">
        <v>31155</v>
      </c>
      <c r="D23" s="111" t="s">
        <v>223</v>
      </c>
      <c r="E23" s="105">
        <v>100</v>
      </c>
      <c r="F23" s="105">
        <v>1.29</v>
      </c>
      <c r="G23" s="105">
        <v>200</v>
      </c>
      <c r="H23" s="105">
        <v>0</v>
      </c>
      <c r="I23" s="105">
        <v>0</v>
      </c>
      <c r="J23" s="105">
        <v>0</v>
      </c>
      <c r="K23" s="105">
        <v>5</v>
      </c>
      <c r="L23" s="105">
        <v>0.08</v>
      </c>
      <c r="M23" s="105">
        <v>1</v>
      </c>
      <c r="N23" s="105">
        <v>2</v>
      </c>
      <c r="O23" s="108">
        <f>L23/K23*N23</f>
        <v>3.2000000000000001E-2</v>
      </c>
      <c r="P23" s="105">
        <v>0.4</v>
      </c>
      <c r="Q23" s="105">
        <v>0</v>
      </c>
      <c r="R23" s="105">
        <v>0</v>
      </c>
      <c r="S23" s="105">
        <v>1</v>
      </c>
      <c r="T23" s="109">
        <v>0.02</v>
      </c>
      <c r="U23" s="105">
        <v>0.2</v>
      </c>
      <c r="V23" s="105">
        <v>0</v>
      </c>
      <c r="W23" s="112">
        <f t="shared" ref="W23:W86" si="1">T23/S23*V23</f>
        <v>0</v>
      </c>
      <c r="X23" s="112">
        <f t="shared" si="0"/>
        <v>0</v>
      </c>
      <c r="Y23" s="112">
        <f>L23/K23*X23</f>
        <v>0</v>
      </c>
      <c r="Z23" s="105"/>
      <c r="AA23" s="105"/>
      <c r="AB23" s="105"/>
    </row>
    <row r="24" spans="1:28" s="104" customFormat="1" ht="17.25">
      <c r="A24" s="113" t="s">
        <v>224</v>
      </c>
      <c r="B24" s="114" t="s">
        <v>225</v>
      </c>
      <c r="C24" s="105"/>
      <c r="D24" s="115"/>
      <c r="E24" s="105"/>
      <c r="F24" s="105"/>
      <c r="G24" s="105"/>
      <c r="H24" s="105"/>
      <c r="I24" s="105"/>
      <c r="J24" s="105"/>
      <c r="K24" s="105"/>
      <c r="L24" s="105"/>
      <c r="M24" s="105"/>
      <c r="N24" s="105"/>
      <c r="O24" s="108"/>
      <c r="P24" s="105"/>
      <c r="Q24" s="105"/>
      <c r="R24" s="105"/>
      <c r="S24" s="105"/>
      <c r="T24" s="109"/>
      <c r="U24" s="105"/>
      <c r="V24" s="105"/>
      <c r="W24" s="105"/>
      <c r="X24" s="105"/>
      <c r="Y24" s="105"/>
      <c r="Z24" s="105"/>
      <c r="AA24" s="105"/>
      <c r="AB24" s="105"/>
    </row>
    <row r="25" spans="1:28" s="104" customFormat="1" ht="34.5">
      <c r="A25" s="113" t="s">
        <v>226</v>
      </c>
      <c r="B25" s="114" t="s">
        <v>227</v>
      </c>
      <c r="C25" s="105">
        <v>31155</v>
      </c>
      <c r="D25" s="107" t="s">
        <v>218</v>
      </c>
      <c r="E25" s="105">
        <v>1</v>
      </c>
      <c r="F25" s="105">
        <v>0</v>
      </c>
      <c r="G25" s="105">
        <v>150</v>
      </c>
      <c r="H25" s="105">
        <v>0</v>
      </c>
      <c r="I25" s="105">
        <v>0</v>
      </c>
      <c r="J25" s="105">
        <v>0</v>
      </c>
      <c r="K25" s="105">
        <v>1</v>
      </c>
      <c r="L25" s="105">
        <v>8.23</v>
      </c>
      <c r="M25" s="105">
        <v>100</v>
      </c>
      <c r="N25" s="105"/>
      <c r="O25" s="105"/>
      <c r="P25" s="105"/>
      <c r="Q25" s="105"/>
      <c r="R25" s="105"/>
      <c r="S25" s="105">
        <v>1</v>
      </c>
      <c r="T25" s="105">
        <v>8.23</v>
      </c>
      <c r="U25" s="105">
        <v>100</v>
      </c>
      <c r="V25" s="105">
        <v>0</v>
      </c>
      <c r="W25" s="105">
        <v>0</v>
      </c>
      <c r="X25" s="105">
        <v>0</v>
      </c>
      <c r="Y25" s="105">
        <v>0</v>
      </c>
      <c r="Z25" s="105"/>
      <c r="AA25" s="105"/>
      <c r="AB25" s="105"/>
    </row>
    <row r="26" spans="1:28" s="104" customFormat="1" ht="34.5">
      <c r="A26" s="116" t="s">
        <v>228</v>
      </c>
      <c r="B26" s="117" t="s">
        <v>229</v>
      </c>
      <c r="C26" s="118">
        <v>31171</v>
      </c>
      <c r="D26" s="119" t="s">
        <v>230</v>
      </c>
      <c r="E26" s="118"/>
      <c r="F26" s="118"/>
      <c r="G26" s="118"/>
      <c r="H26" s="118"/>
      <c r="I26" s="118"/>
      <c r="J26" s="118"/>
      <c r="K26" s="118">
        <v>1</v>
      </c>
      <c r="L26" s="118"/>
      <c r="M26" s="118">
        <v>0</v>
      </c>
      <c r="N26" s="118"/>
      <c r="O26" s="118"/>
      <c r="P26" s="118"/>
      <c r="Q26" s="118"/>
      <c r="R26" s="118"/>
      <c r="S26" s="118">
        <v>0</v>
      </c>
      <c r="T26" s="118">
        <v>0</v>
      </c>
      <c r="U26" s="118">
        <v>0</v>
      </c>
      <c r="V26" s="118">
        <v>0</v>
      </c>
      <c r="W26" s="118">
        <v>0</v>
      </c>
      <c r="X26" s="118">
        <v>0</v>
      </c>
      <c r="Y26" s="118">
        <v>0</v>
      </c>
      <c r="Z26" s="118"/>
      <c r="AA26" s="118"/>
      <c r="AB26" s="118"/>
    </row>
    <row r="27" spans="1:28" s="124" customFormat="1" ht="17.25">
      <c r="A27" s="598" t="s">
        <v>231</v>
      </c>
      <c r="B27" s="599"/>
      <c r="C27" s="120"/>
      <c r="D27" s="120"/>
      <c r="E27" s="120"/>
      <c r="F27" s="120"/>
      <c r="G27" s="120"/>
      <c r="H27" s="120"/>
      <c r="I27" s="120"/>
      <c r="J27" s="120"/>
      <c r="K27" s="120"/>
      <c r="L27" s="120"/>
      <c r="M27" s="95">
        <f>SUM(M28:M38)</f>
        <v>271.56</v>
      </c>
      <c r="N27" s="120"/>
      <c r="O27" s="120"/>
      <c r="P27" s="120"/>
      <c r="Q27" s="120"/>
      <c r="R27" s="120"/>
      <c r="S27" s="121"/>
      <c r="T27" s="122"/>
      <c r="U27" s="95">
        <f>SUM(U28:U38)</f>
        <v>59.76</v>
      </c>
      <c r="V27" s="120"/>
      <c r="W27" s="101"/>
      <c r="X27" s="101"/>
      <c r="Y27" s="101"/>
      <c r="Z27" s="120"/>
      <c r="AA27" s="120"/>
      <c r="AB27" s="123"/>
    </row>
    <row r="28" spans="1:28" s="104" customFormat="1" ht="17.25">
      <c r="A28" s="98" t="s">
        <v>232</v>
      </c>
      <c r="B28" s="99" t="s">
        <v>233</v>
      </c>
      <c r="C28" s="98">
        <v>31154</v>
      </c>
      <c r="D28" s="100" t="s">
        <v>218</v>
      </c>
      <c r="E28" s="98">
        <v>0</v>
      </c>
      <c r="F28" s="98">
        <v>0</v>
      </c>
      <c r="G28" s="98">
        <v>0</v>
      </c>
      <c r="H28" s="98">
        <v>0</v>
      </c>
      <c r="I28" s="98">
        <v>0</v>
      </c>
      <c r="J28" s="98">
        <v>0</v>
      </c>
      <c r="K28" s="98">
        <v>1</v>
      </c>
      <c r="L28" s="98">
        <v>6.99</v>
      </c>
      <c r="M28" s="98">
        <v>85</v>
      </c>
      <c r="N28" s="98">
        <v>0.3</v>
      </c>
      <c r="O28" s="125">
        <v>2.2400000000000002</v>
      </c>
      <c r="P28" s="98">
        <v>25</v>
      </c>
      <c r="Q28" s="98">
        <v>0.1</v>
      </c>
      <c r="R28" s="101">
        <f t="shared" ref="R28:R36" si="2">O28/N28*Q28</f>
        <v>0.74666666666666681</v>
      </c>
      <c r="S28" s="101">
        <v>0.2</v>
      </c>
      <c r="T28" s="102">
        <v>1.65</v>
      </c>
      <c r="U28" s="101">
        <v>20</v>
      </c>
      <c r="V28" s="103">
        <f>S28</f>
        <v>0.2</v>
      </c>
      <c r="W28" s="103">
        <v>1.65</v>
      </c>
      <c r="X28" s="103">
        <v>1</v>
      </c>
      <c r="Y28" s="103">
        <f t="shared" ref="Y28:Y38" si="3">L28/K28*X28</f>
        <v>6.99</v>
      </c>
      <c r="Z28" s="98"/>
      <c r="AA28" s="98"/>
      <c r="AB28" s="126"/>
    </row>
    <row r="29" spans="1:28" s="104" customFormat="1" ht="17.25">
      <c r="A29" s="105" t="s">
        <v>234</v>
      </c>
      <c r="B29" s="106" t="s">
        <v>235</v>
      </c>
      <c r="C29" s="105">
        <v>31154</v>
      </c>
      <c r="D29" s="107" t="s">
        <v>218</v>
      </c>
      <c r="E29" s="105">
        <v>0</v>
      </c>
      <c r="F29" s="105">
        <v>0</v>
      </c>
      <c r="G29" s="105">
        <v>0</v>
      </c>
      <c r="H29" s="105">
        <v>0</v>
      </c>
      <c r="I29" s="105">
        <v>0</v>
      </c>
      <c r="J29" s="105">
        <v>0</v>
      </c>
      <c r="K29" s="105">
        <v>1</v>
      </c>
      <c r="L29" s="105">
        <v>2.4700000000000002</v>
      </c>
      <c r="M29" s="105">
        <v>30</v>
      </c>
      <c r="N29" s="105">
        <v>0.33</v>
      </c>
      <c r="O29" s="108">
        <v>0.9</v>
      </c>
      <c r="P29" s="105">
        <v>10</v>
      </c>
      <c r="Q29" s="105">
        <v>0.1</v>
      </c>
      <c r="R29" s="110">
        <f t="shared" si="2"/>
        <v>0.27272727272727271</v>
      </c>
      <c r="S29" s="110">
        <v>0.34</v>
      </c>
      <c r="T29" s="109">
        <v>0.82</v>
      </c>
      <c r="U29" s="110">
        <v>10</v>
      </c>
      <c r="V29" s="110">
        <f t="shared" ref="V29:V38" si="4">S29</f>
        <v>0.34</v>
      </c>
      <c r="W29" s="110">
        <v>0.34</v>
      </c>
      <c r="X29" s="110">
        <v>1</v>
      </c>
      <c r="Y29" s="110">
        <f t="shared" si="3"/>
        <v>2.4700000000000002</v>
      </c>
      <c r="Z29" s="105"/>
      <c r="AA29" s="105"/>
      <c r="AB29" s="127"/>
    </row>
    <row r="30" spans="1:28" s="104" customFormat="1" ht="28.5">
      <c r="A30" s="105" t="s">
        <v>236</v>
      </c>
      <c r="B30" s="106" t="s">
        <v>237</v>
      </c>
      <c r="C30" s="105">
        <v>31154</v>
      </c>
      <c r="D30" s="107" t="s">
        <v>218</v>
      </c>
      <c r="E30" s="105">
        <v>0</v>
      </c>
      <c r="F30" s="105">
        <v>0</v>
      </c>
      <c r="G30" s="105">
        <v>0</v>
      </c>
      <c r="H30" s="105">
        <v>0</v>
      </c>
      <c r="I30" s="105">
        <v>0</v>
      </c>
      <c r="J30" s="105">
        <v>0</v>
      </c>
      <c r="K30" s="105">
        <v>1</v>
      </c>
      <c r="L30" s="105">
        <v>0.82</v>
      </c>
      <c r="M30" s="105">
        <v>10</v>
      </c>
      <c r="N30" s="105">
        <v>0.33</v>
      </c>
      <c r="O30" s="108">
        <v>0.3</v>
      </c>
      <c r="P30" s="105">
        <v>3.3</v>
      </c>
      <c r="Q30" s="105">
        <v>0.1</v>
      </c>
      <c r="R30" s="110">
        <f t="shared" si="2"/>
        <v>9.0909090909090912E-2</v>
      </c>
      <c r="S30" s="110">
        <v>0.34</v>
      </c>
      <c r="T30" s="109">
        <v>0.28000000000000003</v>
      </c>
      <c r="U30" s="110">
        <v>3.4</v>
      </c>
      <c r="V30" s="110">
        <f t="shared" si="4"/>
        <v>0.34</v>
      </c>
      <c r="W30" s="110">
        <f t="shared" si="1"/>
        <v>0.28000000000000003</v>
      </c>
      <c r="X30" s="110">
        <v>1</v>
      </c>
      <c r="Y30" s="110">
        <f t="shared" si="3"/>
        <v>0.82</v>
      </c>
      <c r="Z30" s="105"/>
      <c r="AA30" s="105"/>
      <c r="AB30" s="127"/>
    </row>
    <row r="31" spans="1:28" s="104" customFormat="1" ht="17.25">
      <c r="A31" s="105" t="s">
        <v>238</v>
      </c>
      <c r="B31" s="106" t="s">
        <v>239</v>
      </c>
      <c r="C31" s="105">
        <v>31154</v>
      </c>
      <c r="D31" s="107" t="s">
        <v>218</v>
      </c>
      <c r="E31" s="105">
        <v>0</v>
      </c>
      <c r="F31" s="105">
        <v>0</v>
      </c>
      <c r="G31" s="105">
        <v>0</v>
      </c>
      <c r="H31" s="105">
        <v>0</v>
      </c>
      <c r="I31" s="105">
        <v>0</v>
      </c>
      <c r="J31" s="105">
        <v>0</v>
      </c>
      <c r="K31" s="105">
        <v>1</v>
      </c>
      <c r="L31" s="105">
        <v>0.82</v>
      </c>
      <c r="M31" s="105">
        <v>10</v>
      </c>
      <c r="N31" s="105">
        <v>0.33</v>
      </c>
      <c r="O31" s="108">
        <v>0.3</v>
      </c>
      <c r="P31" s="105">
        <v>3.3</v>
      </c>
      <c r="Q31" s="105">
        <v>0.1</v>
      </c>
      <c r="R31" s="110">
        <f t="shared" si="2"/>
        <v>9.0909090909090912E-2</v>
      </c>
      <c r="S31" s="110">
        <v>0.34</v>
      </c>
      <c r="T31" s="109">
        <v>0.28000000000000003</v>
      </c>
      <c r="U31" s="110">
        <v>3.4</v>
      </c>
      <c r="V31" s="110">
        <f t="shared" si="4"/>
        <v>0.34</v>
      </c>
      <c r="W31" s="110">
        <f t="shared" si="1"/>
        <v>0.28000000000000003</v>
      </c>
      <c r="X31" s="110">
        <v>1</v>
      </c>
      <c r="Y31" s="110">
        <f t="shared" si="3"/>
        <v>0.82</v>
      </c>
      <c r="Z31" s="105"/>
      <c r="AA31" s="105"/>
      <c r="AB31" s="127"/>
    </row>
    <row r="32" spans="1:28" s="104" customFormat="1" ht="28.5">
      <c r="A32" s="105" t="s">
        <v>240</v>
      </c>
      <c r="B32" s="106" t="s">
        <v>241</v>
      </c>
      <c r="C32" s="105">
        <v>31154</v>
      </c>
      <c r="D32" s="107" t="s">
        <v>218</v>
      </c>
      <c r="E32" s="105">
        <v>0</v>
      </c>
      <c r="F32" s="105">
        <v>0</v>
      </c>
      <c r="G32" s="105">
        <v>0</v>
      </c>
      <c r="H32" s="105">
        <v>0</v>
      </c>
      <c r="I32" s="105">
        <v>0</v>
      </c>
      <c r="J32" s="105">
        <v>0</v>
      </c>
      <c r="K32" s="105">
        <v>1</v>
      </c>
      <c r="L32" s="105">
        <v>0.82</v>
      </c>
      <c r="M32" s="105">
        <v>10</v>
      </c>
      <c r="N32" s="105">
        <v>0.33</v>
      </c>
      <c r="O32" s="108">
        <v>0.3</v>
      </c>
      <c r="P32" s="105">
        <v>3.3</v>
      </c>
      <c r="Q32" s="105">
        <v>0.1</v>
      </c>
      <c r="R32" s="110">
        <f t="shared" si="2"/>
        <v>9.0909090909090912E-2</v>
      </c>
      <c r="S32" s="110">
        <v>0.34</v>
      </c>
      <c r="T32" s="109">
        <v>0.28000000000000003</v>
      </c>
      <c r="U32" s="110">
        <v>3.4</v>
      </c>
      <c r="V32" s="110">
        <f t="shared" si="4"/>
        <v>0.34</v>
      </c>
      <c r="W32" s="110">
        <f t="shared" si="1"/>
        <v>0.28000000000000003</v>
      </c>
      <c r="X32" s="110">
        <v>1</v>
      </c>
      <c r="Y32" s="110">
        <f t="shared" si="3"/>
        <v>0.82</v>
      </c>
      <c r="Z32" s="105"/>
      <c r="AA32" s="105"/>
      <c r="AB32" s="127"/>
    </row>
    <row r="33" spans="1:28" s="104" customFormat="1" ht="28.5">
      <c r="A33" s="105" t="s">
        <v>242</v>
      </c>
      <c r="B33" s="106" t="s">
        <v>243</v>
      </c>
      <c r="C33" s="105">
        <v>31154</v>
      </c>
      <c r="D33" s="107" t="s">
        <v>218</v>
      </c>
      <c r="E33" s="105">
        <v>0</v>
      </c>
      <c r="F33" s="105">
        <v>0</v>
      </c>
      <c r="G33" s="105">
        <v>0</v>
      </c>
      <c r="H33" s="105">
        <v>0</v>
      </c>
      <c r="I33" s="105">
        <v>0</v>
      </c>
      <c r="J33" s="105">
        <v>0</v>
      </c>
      <c r="K33" s="105">
        <v>1</v>
      </c>
      <c r="L33" s="105">
        <v>0.82</v>
      </c>
      <c r="M33" s="105">
        <v>10</v>
      </c>
      <c r="N33" s="105">
        <v>0.33</v>
      </c>
      <c r="O33" s="108">
        <v>0.3</v>
      </c>
      <c r="P33" s="105">
        <v>3.3</v>
      </c>
      <c r="Q33" s="105">
        <v>0.1</v>
      </c>
      <c r="R33" s="110">
        <f t="shared" si="2"/>
        <v>9.0909090909090912E-2</v>
      </c>
      <c r="S33" s="110">
        <v>0.34</v>
      </c>
      <c r="T33" s="109">
        <v>0.28000000000000003</v>
      </c>
      <c r="U33" s="110">
        <v>3.4</v>
      </c>
      <c r="V33" s="110">
        <f t="shared" si="4"/>
        <v>0.34</v>
      </c>
      <c r="W33" s="110">
        <f t="shared" si="1"/>
        <v>0.28000000000000003</v>
      </c>
      <c r="X33" s="110">
        <v>1</v>
      </c>
      <c r="Y33" s="110">
        <f t="shared" si="3"/>
        <v>0.82</v>
      </c>
      <c r="Z33" s="105"/>
      <c r="AA33" s="105"/>
      <c r="AB33" s="127"/>
    </row>
    <row r="34" spans="1:28" s="104" customFormat="1" ht="17.25">
      <c r="A34" s="105" t="s">
        <v>244</v>
      </c>
      <c r="B34" s="106" t="s">
        <v>245</v>
      </c>
      <c r="C34" s="105">
        <v>31154</v>
      </c>
      <c r="D34" s="107" t="s">
        <v>218</v>
      </c>
      <c r="E34" s="105">
        <v>0</v>
      </c>
      <c r="F34" s="105">
        <v>0</v>
      </c>
      <c r="G34" s="105">
        <v>0</v>
      </c>
      <c r="H34" s="105">
        <v>0</v>
      </c>
      <c r="I34" s="105">
        <v>0</v>
      </c>
      <c r="J34" s="105">
        <v>0</v>
      </c>
      <c r="K34" s="105">
        <v>1</v>
      </c>
      <c r="L34" s="105">
        <v>2.4700000000000002</v>
      </c>
      <c r="M34" s="105">
        <v>30</v>
      </c>
      <c r="N34" s="105">
        <v>0.5</v>
      </c>
      <c r="O34" s="108">
        <v>1.34</v>
      </c>
      <c r="P34" s="105">
        <v>15</v>
      </c>
      <c r="Q34" s="105">
        <v>0.1</v>
      </c>
      <c r="R34" s="110">
        <f t="shared" si="2"/>
        <v>0.26800000000000002</v>
      </c>
      <c r="S34" s="110">
        <v>0</v>
      </c>
      <c r="T34" s="109">
        <v>0</v>
      </c>
      <c r="U34" s="110">
        <v>0</v>
      </c>
      <c r="V34" s="110">
        <v>1</v>
      </c>
      <c r="W34" s="110">
        <f>L34</f>
        <v>2.4700000000000002</v>
      </c>
      <c r="X34" s="110">
        <v>1</v>
      </c>
      <c r="Y34" s="110">
        <f t="shared" si="3"/>
        <v>2.4700000000000002</v>
      </c>
      <c r="Z34" s="105"/>
      <c r="AA34" s="105"/>
      <c r="AB34" s="127"/>
    </row>
    <row r="35" spans="1:28" s="104" customFormat="1" ht="28.5">
      <c r="A35" s="105" t="s">
        <v>246</v>
      </c>
      <c r="B35" s="106" t="s">
        <v>247</v>
      </c>
      <c r="C35" s="105">
        <v>31154</v>
      </c>
      <c r="D35" s="107" t="s">
        <v>218</v>
      </c>
      <c r="E35" s="105">
        <v>0</v>
      </c>
      <c r="F35" s="105">
        <v>0</v>
      </c>
      <c r="G35" s="105">
        <v>0</v>
      </c>
      <c r="H35" s="105">
        <v>0</v>
      </c>
      <c r="I35" s="105">
        <v>0</v>
      </c>
      <c r="J35" s="105">
        <v>0</v>
      </c>
      <c r="K35" s="105">
        <v>1</v>
      </c>
      <c r="L35" s="105">
        <v>0.82</v>
      </c>
      <c r="M35" s="105">
        <v>10</v>
      </c>
      <c r="N35" s="105">
        <v>0.33</v>
      </c>
      <c r="O35" s="108">
        <v>0.3</v>
      </c>
      <c r="P35" s="105">
        <v>3.3</v>
      </c>
      <c r="Q35" s="105">
        <v>0.1</v>
      </c>
      <c r="R35" s="110">
        <f t="shared" si="2"/>
        <v>9.0909090909090912E-2</v>
      </c>
      <c r="S35" s="110">
        <v>0.34</v>
      </c>
      <c r="T35" s="109">
        <v>0.28000000000000003</v>
      </c>
      <c r="U35" s="110">
        <v>3.4</v>
      </c>
      <c r="V35" s="110">
        <f t="shared" si="4"/>
        <v>0.34</v>
      </c>
      <c r="W35" s="110">
        <f t="shared" si="1"/>
        <v>0.28000000000000003</v>
      </c>
      <c r="X35" s="110">
        <v>1</v>
      </c>
      <c r="Y35" s="110">
        <f t="shared" si="3"/>
        <v>0.82</v>
      </c>
      <c r="Z35" s="105"/>
      <c r="AA35" s="105"/>
      <c r="AB35" s="127"/>
    </row>
    <row r="36" spans="1:28" s="104" customFormat="1" ht="17.25">
      <c r="A36" s="105" t="s">
        <v>248</v>
      </c>
      <c r="B36" s="106" t="s">
        <v>249</v>
      </c>
      <c r="C36" s="105">
        <v>31154</v>
      </c>
      <c r="D36" s="107" t="s">
        <v>218</v>
      </c>
      <c r="E36" s="105">
        <v>0</v>
      </c>
      <c r="F36" s="105">
        <v>0</v>
      </c>
      <c r="G36" s="105">
        <v>0</v>
      </c>
      <c r="H36" s="105">
        <v>0</v>
      </c>
      <c r="I36" s="105">
        <v>0</v>
      </c>
      <c r="J36" s="105">
        <v>0</v>
      </c>
      <c r="K36" s="105">
        <v>1</v>
      </c>
      <c r="L36" s="105">
        <v>1.65</v>
      </c>
      <c r="M36" s="105">
        <v>20</v>
      </c>
      <c r="N36" s="105">
        <v>0.5</v>
      </c>
      <c r="O36" s="108">
        <v>0.9</v>
      </c>
      <c r="P36" s="105">
        <v>10</v>
      </c>
      <c r="Q36" s="105">
        <v>0.1</v>
      </c>
      <c r="R36" s="110">
        <f t="shared" si="2"/>
        <v>0.18000000000000002</v>
      </c>
      <c r="S36" s="110">
        <v>0</v>
      </c>
      <c r="T36" s="109">
        <v>0</v>
      </c>
      <c r="U36" s="110">
        <v>0</v>
      </c>
      <c r="V36" s="110">
        <f t="shared" si="4"/>
        <v>0</v>
      </c>
      <c r="W36" s="110">
        <v>0</v>
      </c>
      <c r="X36" s="110">
        <v>1</v>
      </c>
      <c r="Y36" s="110">
        <f t="shared" si="3"/>
        <v>1.65</v>
      </c>
      <c r="Z36" s="105"/>
      <c r="AA36" s="105"/>
      <c r="AB36" s="127"/>
    </row>
    <row r="37" spans="1:28" s="104" customFormat="1" ht="17.25">
      <c r="A37" s="105" t="s">
        <v>250</v>
      </c>
      <c r="B37" s="106" t="s">
        <v>251</v>
      </c>
      <c r="C37" s="105">
        <v>31154</v>
      </c>
      <c r="D37" s="107" t="s">
        <v>218</v>
      </c>
      <c r="E37" s="105">
        <v>0</v>
      </c>
      <c r="F37" s="105">
        <v>0</v>
      </c>
      <c r="G37" s="105">
        <v>0</v>
      </c>
      <c r="H37" s="105">
        <v>0</v>
      </c>
      <c r="I37" s="105">
        <v>0</v>
      </c>
      <c r="J37" s="105">
        <v>0</v>
      </c>
      <c r="K37" s="105">
        <v>1</v>
      </c>
      <c r="L37" s="105">
        <v>3.99</v>
      </c>
      <c r="M37" s="105">
        <v>48.56</v>
      </c>
      <c r="N37" s="105">
        <v>0.33</v>
      </c>
      <c r="O37" s="108">
        <v>2.96</v>
      </c>
      <c r="P37" s="105">
        <v>33</v>
      </c>
      <c r="Q37" s="105">
        <v>0.1</v>
      </c>
      <c r="R37" s="110">
        <f>O37/N37*Q37</f>
        <v>0.89696969696969697</v>
      </c>
      <c r="S37" s="110">
        <v>0.34</v>
      </c>
      <c r="T37" s="109">
        <v>0.79</v>
      </c>
      <c r="U37" s="110">
        <v>9.56</v>
      </c>
      <c r="V37" s="110">
        <f t="shared" si="4"/>
        <v>0.34</v>
      </c>
      <c r="W37" s="110">
        <f t="shared" si="1"/>
        <v>0.78999999999999992</v>
      </c>
      <c r="X37" s="110">
        <v>1</v>
      </c>
      <c r="Y37" s="110">
        <f t="shared" si="3"/>
        <v>3.99</v>
      </c>
      <c r="Z37" s="105"/>
      <c r="AA37" s="105"/>
      <c r="AB37" s="127"/>
    </row>
    <row r="38" spans="1:28" s="104" customFormat="1" ht="17.25">
      <c r="A38" s="118" t="s">
        <v>252</v>
      </c>
      <c r="B38" s="128" t="s">
        <v>253</v>
      </c>
      <c r="C38" s="118">
        <v>31154</v>
      </c>
      <c r="D38" s="129" t="s">
        <v>218</v>
      </c>
      <c r="E38" s="118">
        <v>0</v>
      </c>
      <c r="F38" s="118">
        <v>0</v>
      </c>
      <c r="G38" s="118">
        <v>0</v>
      </c>
      <c r="H38" s="118">
        <v>0</v>
      </c>
      <c r="I38" s="118">
        <v>0</v>
      </c>
      <c r="J38" s="118">
        <v>0</v>
      </c>
      <c r="K38" s="118">
        <v>1</v>
      </c>
      <c r="L38" s="118">
        <v>0.66</v>
      </c>
      <c r="M38" s="118">
        <v>8</v>
      </c>
      <c r="N38" s="118">
        <v>0.3</v>
      </c>
      <c r="O38" s="130">
        <v>0.22</v>
      </c>
      <c r="P38" s="118">
        <v>2.4</v>
      </c>
      <c r="Q38" s="118">
        <v>0.1</v>
      </c>
      <c r="R38" s="131">
        <f>O38/N38*Q38</f>
        <v>7.3333333333333348E-2</v>
      </c>
      <c r="S38" s="131">
        <v>0.4</v>
      </c>
      <c r="T38" s="132">
        <v>0.26</v>
      </c>
      <c r="U38" s="131">
        <v>3.2</v>
      </c>
      <c r="V38" s="131">
        <f t="shared" si="4"/>
        <v>0.4</v>
      </c>
      <c r="W38" s="131">
        <f t="shared" si="1"/>
        <v>0.26</v>
      </c>
      <c r="X38" s="131">
        <v>0.9</v>
      </c>
      <c r="Y38" s="131">
        <f t="shared" si="3"/>
        <v>0.59400000000000008</v>
      </c>
      <c r="Z38" s="118"/>
      <c r="AA38" s="118"/>
      <c r="AB38" s="133"/>
    </row>
    <row r="39" spans="1:28" ht="17.25">
      <c r="A39" s="600" t="s">
        <v>254</v>
      </c>
      <c r="B39" s="601"/>
      <c r="C39" s="134"/>
      <c r="D39" s="134"/>
      <c r="E39" s="134"/>
      <c r="F39" s="134"/>
      <c r="G39" s="134"/>
      <c r="H39" s="134"/>
      <c r="I39" s="134"/>
      <c r="J39" s="134"/>
      <c r="K39" s="134"/>
      <c r="M39" s="135">
        <f>SUM(M41:M110)</f>
        <v>619.4399999999996</v>
      </c>
      <c r="N39" s="134"/>
      <c r="O39" s="134"/>
      <c r="P39" s="134"/>
      <c r="Q39" s="134"/>
      <c r="R39" s="134"/>
      <c r="S39" s="134"/>
      <c r="T39" s="136"/>
      <c r="U39" s="135">
        <f>SUM(U41:U110)</f>
        <v>265.49999999999955</v>
      </c>
      <c r="V39" s="134"/>
      <c r="W39" s="103"/>
      <c r="X39" s="103"/>
      <c r="Y39" s="103"/>
      <c r="Z39" s="134"/>
      <c r="AA39" s="134"/>
      <c r="AB39" s="137"/>
    </row>
    <row r="40" spans="1:28" s="104" customFormat="1" ht="17.25">
      <c r="A40" s="98" t="s">
        <v>255</v>
      </c>
      <c r="B40" s="99" t="s">
        <v>256</v>
      </c>
      <c r="C40" s="98"/>
      <c r="D40" s="98"/>
      <c r="E40" s="98"/>
      <c r="F40" s="98"/>
      <c r="G40" s="98"/>
      <c r="H40" s="98"/>
      <c r="I40" s="98"/>
      <c r="J40" s="98"/>
      <c r="K40" s="98"/>
      <c r="L40" s="98"/>
      <c r="M40" s="98"/>
      <c r="N40" s="98"/>
      <c r="O40" s="98"/>
      <c r="P40" s="98"/>
      <c r="Q40" s="98"/>
      <c r="R40" s="98"/>
      <c r="S40" s="98"/>
      <c r="T40" s="102"/>
      <c r="U40" s="98"/>
      <c r="V40" s="98"/>
      <c r="W40" s="101"/>
      <c r="X40" s="101"/>
      <c r="Y40" s="101"/>
      <c r="Z40" s="98"/>
      <c r="AA40" s="98"/>
      <c r="AB40" s="98"/>
    </row>
    <row r="41" spans="1:28" s="104" customFormat="1" ht="17.25">
      <c r="A41" s="105" t="s">
        <v>257</v>
      </c>
      <c r="B41" s="106" t="s">
        <v>258</v>
      </c>
      <c r="C41" s="105">
        <v>31155</v>
      </c>
      <c r="D41" s="105" t="s">
        <v>259</v>
      </c>
      <c r="E41" s="105">
        <v>100</v>
      </c>
      <c r="F41" s="105">
        <v>0</v>
      </c>
      <c r="G41" s="105">
        <v>0</v>
      </c>
      <c r="H41" s="105">
        <v>90</v>
      </c>
      <c r="I41" s="105">
        <v>0</v>
      </c>
      <c r="J41" s="105">
        <v>0</v>
      </c>
      <c r="K41" s="105">
        <v>1</v>
      </c>
      <c r="L41" s="105">
        <v>0.82</v>
      </c>
      <c r="M41" s="105">
        <v>10</v>
      </c>
      <c r="N41" s="105">
        <v>3</v>
      </c>
      <c r="O41" s="105">
        <v>0.13</v>
      </c>
      <c r="P41" s="105">
        <v>1.5</v>
      </c>
      <c r="Q41" s="105">
        <v>0</v>
      </c>
      <c r="R41" s="110">
        <f>O41/N41*Q41</f>
        <v>0</v>
      </c>
      <c r="S41" s="110">
        <v>1</v>
      </c>
      <c r="T41" s="109">
        <v>0.82</v>
      </c>
      <c r="U41" s="110">
        <v>10</v>
      </c>
      <c r="V41" s="110">
        <v>1</v>
      </c>
      <c r="W41" s="110">
        <f t="shared" si="1"/>
        <v>0.82</v>
      </c>
      <c r="X41" s="110">
        <f t="shared" si="0"/>
        <v>1</v>
      </c>
      <c r="Y41" s="110">
        <f t="shared" si="0"/>
        <v>0.82</v>
      </c>
      <c r="Z41" s="105"/>
      <c r="AA41" s="105"/>
      <c r="AB41" s="105"/>
    </row>
    <row r="42" spans="1:28" s="104" customFormat="1" ht="17.25">
      <c r="A42" s="105" t="s">
        <v>260</v>
      </c>
      <c r="B42" s="106" t="s">
        <v>261</v>
      </c>
      <c r="C42" s="105"/>
      <c r="D42" s="105"/>
      <c r="E42" s="105"/>
      <c r="F42" s="105"/>
      <c r="G42" s="105"/>
      <c r="H42" s="105"/>
      <c r="I42" s="105"/>
      <c r="J42" s="105"/>
      <c r="K42" s="105"/>
      <c r="L42" s="105"/>
      <c r="M42" s="105"/>
      <c r="N42" s="105"/>
      <c r="O42" s="105"/>
      <c r="P42" s="105"/>
      <c r="Q42" s="105"/>
      <c r="R42" s="105"/>
      <c r="S42" s="105"/>
      <c r="T42" s="109"/>
      <c r="U42" s="105"/>
      <c r="V42" s="105"/>
      <c r="W42" s="110"/>
      <c r="X42" s="110"/>
      <c r="Y42" s="110"/>
      <c r="Z42" s="105"/>
      <c r="AA42" s="105"/>
      <c r="AB42" s="105"/>
    </row>
    <row r="43" spans="1:28" s="104" customFormat="1" ht="17.25">
      <c r="A43" s="105" t="s">
        <v>262</v>
      </c>
      <c r="B43" s="106" t="s">
        <v>258</v>
      </c>
      <c r="C43" s="105">
        <v>31155</v>
      </c>
      <c r="D43" s="105" t="s">
        <v>259</v>
      </c>
      <c r="E43" s="105">
        <v>1000</v>
      </c>
      <c r="F43" s="105">
        <v>12.29</v>
      </c>
      <c r="G43" s="105">
        <v>1900</v>
      </c>
      <c r="H43" s="105">
        <v>40</v>
      </c>
      <c r="I43" s="105">
        <v>19.55</v>
      </c>
      <c r="J43" s="105">
        <v>750</v>
      </c>
      <c r="K43" s="105">
        <v>1</v>
      </c>
      <c r="L43" s="105">
        <v>28.88</v>
      </c>
      <c r="M43" s="105">
        <v>351</v>
      </c>
      <c r="N43" s="105">
        <v>4</v>
      </c>
      <c r="O43" s="105">
        <v>5.0199999999999996</v>
      </c>
      <c r="P43" s="105">
        <v>56</v>
      </c>
      <c r="Q43" s="105">
        <v>7</v>
      </c>
      <c r="R43" s="110">
        <f t="shared" ref="R43:R103" si="5">O43/N43*Q43</f>
        <v>8.7850000000000001</v>
      </c>
      <c r="S43" s="110">
        <v>0.33</v>
      </c>
      <c r="T43" s="109">
        <v>12.75</v>
      </c>
      <c r="U43" s="110">
        <v>155</v>
      </c>
      <c r="V43" s="110">
        <v>0.33</v>
      </c>
      <c r="W43" s="110">
        <f t="shared" si="1"/>
        <v>12.75</v>
      </c>
      <c r="X43" s="110">
        <f>K43</f>
        <v>1</v>
      </c>
      <c r="Y43" s="110">
        <v>28.88</v>
      </c>
      <c r="Z43" s="105"/>
      <c r="AA43" s="105"/>
      <c r="AB43" s="105"/>
    </row>
    <row r="44" spans="1:28" s="104" customFormat="1" ht="17.25">
      <c r="A44" s="105" t="s">
        <v>263</v>
      </c>
      <c r="B44" s="106" t="s">
        <v>264</v>
      </c>
      <c r="C44" s="105">
        <v>31155</v>
      </c>
      <c r="D44" s="105" t="s">
        <v>259</v>
      </c>
      <c r="E44" s="105">
        <v>100</v>
      </c>
      <c r="F44" s="105">
        <v>0.46</v>
      </c>
      <c r="G44" s="105">
        <v>70.739999999999995</v>
      </c>
      <c r="H44" s="105">
        <v>60</v>
      </c>
      <c r="I44" s="105">
        <v>1.05</v>
      </c>
      <c r="J44" s="105">
        <v>40.43</v>
      </c>
      <c r="K44" s="105">
        <v>1</v>
      </c>
      <c r="L44" s="105">
        <v>0</v>
      </c>
      <c r="M44" s="105">
        <v>0.01</v>
      </c>
      <c r="N44" s="105">
        <v>3</v>
      </c>
      <c r="O44" s="105">
        <v>0.03</v>
      </c>
      <c r="P44" s="105">
        <v>0.3</v>
      </c>
      <c r="Q44" s="105">
        <v>0</v>
      </c>
      <c r="R44" s="110">
        <f t="shared" si="5"/>
        <v>0</v>
      </c>
      <c r="S44" s="110">
        <v>1</v>
      </c>
      <c r="T44" s="109">
        <v>0</v>
      </c>
      <c r="U44" s="110">
        <v>0.01</v>
      </c>
      <c r="V44" s="110">
        <v>0</v>
      </c>
      <c r="W44" s="110">
        <f t="shared" si="1"/>
        <v>0</v>
      </c>
      <c r="X44" s="110">
        <f t="shared" si="0"/>
        <v>0</v>
      </c>
      <c r="Y44" s="110">
        <f t="shared" si="0"/>
        <v>0</v>
      </c>
      <c r="Z44" s="105"/>
      <c r="AA44" s="105"/>
      <c r="AB44" s="105"/>
    </row>
    <row r="45" spans="1:28" s="104" customFormat="1" ht="17.25">
      <c r="A45" s="105" t="s">
        <v>265</v>
      </c>
      <c r="B45" s="106" t="s">
        <v>266</v>
      </c>
      <c r="C45" s="105">
        <v>31155</v>
      </c>
      <c r="D45" s="105" t="s">
        <v>259</v>
      </c>
      <c r="E45" s="105">
        <v>100</v>
      </c>
      <c r="F45" s="105">
        <v>0.15</v>
      </c>
      <c r="G45" s="105">
        <v>23.34</v>
      </c>
      <c r="H45" s="105">
        <v>80</v>
      </c>
      <c r="I45" s="105">
        <v>3.91</v>
      </c>
      <c r="J45" s="105">
        <v>150</v>
      </c>
      <c r="K45" s="105">
        <v>1</v>
      </c>
      <c r="L45" s="105">
        <v>1.94</v>
      </c>
      <c r="M45" s="105">
        <v>23.54</v>
      </c>
      <c r="N45" s="105">
        <v>3</v>
      </c>
      <c r="O45" s="105">
        <v>0.13</v>
      </c>
      <c r="P45" s="105">
        <v>1.5</v>
      </c>
      <c r="Q45" s="105">
        <v>10</v>
      </c>
      <c r="R45" s="110">
        <f t="shared" si="5"/>
        <v>0.43333333333333335</v>
      </c>
      <c r="S45" s="110">
        <v>0</v>
      </c>
      <c r="T45" s="109">
        <v>0</v>
      </c>
      <c r="U45" s="110">
        <v>0</v>
      </c>
      <c r="V45" s="110">
        <v>0</v>
      </c>
      <c r="W45" s="110">
        <v>0</v>
      </c>
      <c r="X45" s="110">
        <v>1</v>
      </c>
      <c r="Y45" s="110">
        <f>L45</f>
        <v>1.94</v>
      </c>
      <c r="Z45" s="105"/>
      <c r="AA45" s="105"/>
      <c r="AB45" s="105"/>
    </row>
    <row r="46" spans="1:28" s="104" customFormat="1" ht="17.25">
      <c r="A46" s="105" t="s">
        <v>267</v>
      </c>
      <c r="B46" s="106" t="s">
        <v>268</v>
      </c>
      <c r="C46" s="105">
        <v>31155</v>
      </c>
      <c r="D46" s="105" t="s">
        <v>259</v>
      </c>
      <c r="E46" s="105">
        <v>100</v>
      </c>
      <c r="F46" s="105">
        <v>1.1200000000000001</v>
      </c>
      <c r="G46" s="105">
        <v>172.71</v>
      </c>
      <c r="H46" s="105">
        <v>95</v>
      </c>
      <c r="I46" s="105">
        <v>3</v>
      </c>
      <c r="J46" s="105">
        <v>115</v>
      </c>
      <c r="K46" s="105">
        <v>1</v>
      </c>
      <c r="L46" s="105">
        <v>0.89</v>
      </c>
      <c r="M46" s="105">
        <v>10.8</v>
      </c>
      <c r="N46" s="105">
        <v>6</v>
      </c>
      <c r="O46" s="105">
        <v>0.32</v>
      </c>
      <c r="P46" s="105">
        <v>3.6</v>
      </c>
      <c r="Q46" s="105">
        <v>0.3</v>
      </c>
      <c r="R46" s="110">
        <f t="shared" si="5"/>
        <v>1.6E-2</v>
      </c>
      <c r="S46" s="110">
        <v>0.5</v>
      </c>
      <c r="T46" s="109">
        <v>0.44500000000000001</v>
      </c>
      <c r="U46" s="110">
        <v>5.39</v>
      </c>
      <c r="V46" s="110">
        <v>1</v>
      </c>
      <c r="W46" s="110">
        <v>0.89</v>
      </c>
      <c r="X46" s="110">
        <f>K46</f>
        <v>1</v>
      </c>
      <c r="Y46" s="110">
        <v>0.89</v>
      </c>
      <c r="Z46" s="105"/>
      <c r="AA46" s="105"/>
      <c r="AB46" s="105"/>
    </row>
    <row r="47" spans="1:28" s="104" customFormat="1" ht="17.25">
      <c r="A47" s="105" t="s">
        <v>269</v>
      </c>
      <c r="B47" s="106" t="s">
        <v>270</v>
      </c>
      <c r="C47" s="105">
        <v>31155</v>
      </c>
      <c r="D47" s="105" t="s">
        <v>259</v>
      </c>
      <c r="E47" s="105">
        <v>100</v>
      </c>
      <c r="F47" s="105">
        <v>1.85</v>
      </c>
      <c r="G47" s="105">
        <v>286.08999999999997</v>
      </c>
      <c r="H47" s="105">
        <v>95</v>
      </c>
      <c r="I47" s="105">
        <v>5.74</v>
      </c>
      <c r="J47" s="105">
        <v>220</v>
      </c>
      <c r="K47" s="105">
        <v>1</v>
      </c>
      <c r="L47" s="105">
        <v>0</v>
      </c>
      <c r="M47" s="105">
        <v>0.01</v>
      </c>
      <c r="N47" s="105">
        <v>1.5</v>
      </c>
      <c r="O47" s="105">
        <v>7.0000000000000007E-2</v>
      </c>
      <c r="P47" s="105">
        <v>0.75</v>
      </c>
      <c r="Q47" s="105">
        <v>0</v>
      </c>
      <c r="R47" s="110">
        <f t="shared" si="5"/>
        <v>0</v>
      </c>
      <c r="S47" s="110">
        <v>1</v>
      </c>
      <c r="T47" s="109">
        <v>0</v>
      </c>
      <c r="U47" s="110">
        <v>0.01</v>
      </c>
      <c r="V47" s="110">
        <v>0</v>
      </c>
      <c r="W47" s="110">
        <f t="shared" si="1"/>
        <v>0</v>
      </c>
      <c r="X47" s="110">
        <f t="shared" si="0"/>
        <v>0</v>
      </c>
      <c r="Y47" s="110">
        <f t="shared" si="0"/>
        <v>0</v>
      </c>
      <c r="Z47" s="105"/>
      <c r="AA47" s="105"/>
      <c r="AB47" s="105"/>
    </row>
    <row r="48" spans="1:28" s="104" customFormat="1" ht="17.25">
      <c r="A48" s="105" t="s">
        <v>271</v>
      </c>
      <c r="B48" s="106" t="s">
        <v>272</v>
      </c>
      <c r="C48" s="105">
        <v>31155</v>
      </c>
      <c r="D48" s="105" t="s">
        <v>259</v>
      </c>
      <c r="E48" s="105">
        <v>100</v>
      </c>
      <c r="F48" s="105">
        <v>9.6999999999999993</v>
      </c>
      <c r="G48" s="105">
        <v>1500</v>
      </c>
      <c r="H48" s="105">
        <v>0</v>
      </c>
      <c r="I48" s="105">
        <v>0</v>
      </c>
      <c r="J48" s="105">
        <v>0</v>
      </c>
      <c r="K48" s="105">
        <v>1</v>
      </c>
      <c r="L48" s="105">
        <v>0</v>
      </c>
      <c r="M48" s="105">
        <v>0.01</v>
      </c>
      <c r="N48" s="105">
        <v>0.1</v>
      </c>
      <c r="O48" s="105">
        <v>0.13</v>
      </c>
      <c r="P48" s="105">
        <v>1.5</v>
      </c>
      <c r="Q48" s="105">
        <v>0</v>
      </c>
      <c r="R48" s="110">
        <f t="shared" si="5"/>
        <v>0</v>
      </c>
      <c r="S48" s="110">
        <v>1</v>
      </c>
      <c r="T48" s="109">
        <v>0</v>
      </c>
      <c r="U48" s="110">
        <v>0.01</v>
      </c>
      <c r="V48" s="110">
        <v>0</v>
      </c>
      <c r="W48" s="110">
        <f t="shared" si="1"/>
        <v>0</v>
      </c>
      <c r="X48" s="110">
        <f t="shared" si="0"/>
        <v>0</v>
      </c>
      <c r="Y48" s="110">
        <f t="shared" si="0"/>
        <v>0</v>
      </c>
      <c r="Z48" s="105"/>
      <c r="AA48" s="105"/>
      <c r="AB48" s="105"/>
    </row>
    <row r="49" spans="1:28" s="104" customFormat="1" ht="28.5">
      <c r="A49" s="105" t="s">
        <v>273</v>
      </c>
      <c r="B49" s="106" t="s">
        <v>274</v>
      </c>
      <c r="C49" s="105">
        <v>31155</v>
      </c>
      <c r="D49" s="105" t="s">
        <v>259</v>
      </c>
      <c r="E49" s="105">
        <v>100</v>
      </c>
      <c r="F49" s="105">
        <v>0.97</v>
      </c>
      <c r="G49" s="105">
        <v>150</v>
      </c>
      <c r="H49" s="105">
        <v>0</v>
      </c>
      <c r="I49" s="105">
        <v>0</v>
      </c>
      <c r="J49" s="105">
        <v>0</v>
      </c>
      <c r="K49" s="105">
        <v>1</v>
      </c>
      <c r="L49" s="105">
        <v>0</v>
      </c>
      <c r="M49" s="105">
        <v>0.01</v>
      </c>
      <c r="N49" s="105">
        <v>0.3</v>
      </c>
      <c r="O49" s="105">
        <v>0.03</v>
      </c>
      <c r="P49" s="105">
        <v>0.3</v>
      </c>
      <c r="Q49" s="105">
        <v>0.3</v>
      </c>
      <c r="R49" s="110">
        <f t="shared" si="5"/>
        <v>0.03</v>
      </c>
      <c r="S49" s="110">
        <v>1</v>
      </c>
      <c r="T49" s="109">
        <v>0</v>
      </c>
      <c r="U49" s="110">
        <v>0.01</v>
      </c>
      <c r="V49" s="110">
        <v>0</v>
      </c>
      <c r="W49" s="110">
        <f t="shared" si="1"/>
        <v>0</v>
      </c>
      <c r="X49" s="110">
        <v>0</v>
      </c>
      <c r="Y49" s="110">
        <v>0</v>
      </c>
      <c r="Z49" s="105"/>
      <c r="AA49" s="105"/>
      <c r="AB49" s="105"/>
    </row>
    <row r="50" spans="1:28" ht="17.25">
      <c r="A50" s="105" t="s">
        <v>275</v>
      </c>
      <c r="B50" s="106" t="s">
        <v>276</v>
      </c>
      <c r="C50" s="105">
        <v>31155</v>
      </c>
      <c r="D50" s="105" t="s">
        <v>259</v>
      </c>
      <c r="E50" s="105">
        <v>100</v>
      </c>
      <c r="F50" s="105">
        <v>0.65</v>
      </c>
      <c r="G50" s="105">
        <v>100</v>
      </c>
      <c r="H50" s="105">
        <v>0</v>
      </c>
      <c r="I50" s="105">
        <v>0</v>
      </c>
      <c r="J50" s="105">
        <v>0</v>
      </c>
      <c r="K50" s="105">
        <v>1</v>
      </c>
      <c r="L50" s="105">
        <v>0</v>
      </c>
      <c r="M50" s="105">
        <v>0.01</v>
      </c>
      <c r="N50" s="105">
        <v>0.33</v>
      </c>
      <c r="O50" s="105">
        <v>0.03</v>
      </c>
      <c r="P50" s="105">
        <v>0.33</v>
      </c>
      <c r="Q50" s="105">
        <v>0</v>
      </c>
      <c r="R50" s="110">
        <f t="shared" si="5"/>
        <v>0</v>
      </c>
      <c r="S50" s="110">
        <v>1</v>
      </c>
      <c r="T50" s="109">
        <v>0</v>
      </c>
      <c r="U50" s="110">
        <v>0.01</v>
      </c>
      <c r="V50" s="110">
        <v>0</v>
      </c>
      <c r="W50" s="110">
        <f t="shared" si="1"/>
        <v>0</v>
      </c>
      <c r="X50" s="110">
        <f t="shared" si="0"/>
        <v>0</v>
      </c>
      <c r="Y50" s="110">
        <f t="shared" si="0"/>
        <v>0</v>
      </c>
      <c r="Z50" s="105"/>
      <c r="AA50" s="105"/>
      <c r="AB50" s="105"/>
    </row>
    <row r="51" spans="1:28" ht="28.5">
      <c r="A51" s="105" t="s">
        <v>277</v>
      </c>
      <c r="B51" s="106" t="s">
        <v>278</v>
      </c>
      <c r="C51" s="105">
        <v>31155</v>
      </c>
      <c r="D51" s="105" t="s">
        <v>259</v>
      </c>
      <c r="E51" s="105">
        <v>100</v>
      </c>
      <c r="F51" s="105">
        <v>0.71</v>
      </c>
      <c r="G51" s="105">
        <v>110</v>
      </c>
      <c r="H51" s="105">
        <v>0</v>
      </c>
      <c r="I51" s="105">
        <v>0</v>
      </c>
      <c r="J51" s="105">
        <v>0</v>
      </c>
      <c r="K51" s="105">
        <v>5</v>
      </c>
      <c r="L51" s="105">
        <v>0.45</v>
      </c>
      <c r="M51" s="105">
        <v>5.5</v>
      </c>
      <c r="N51" s="105">
        <v>2</v>
      </c>
      <c r="O51" s="105">
        <v>0.2</v>
      </c>
      <c r="P51" s="105">
        <v>2.2000000000000002</v>
      </c>
      <c r="Q51" s="105">
        <v>0.3</v>
      </c>
      <c r="R51" s="108">
        <f t="shared" si="5"/>
        <v>0.03</v>
      </c>
      <c r="S51" s="108">
        <v>1</v>
      </c>
      <c r="T51" s="109">
        <v>0.09</v>
      </c>
      <c r="U51" s="108">
        <v>1.1000000000000001</v>
      </c>
      <c r="V51" s="108">
        <v>5</v>
      </c>
      <c r="W51" s="110">
        <f t="shared" si="1"/>
        <v>0.44999999999999996</v>
      </c>
      <c r="X51" s="110">
        <v>5</v>
      </c>
      <c r="Y51" s="110">
        <v>0.45</v>
      </c>
      <c r="Z51" s="105"/>
      <c r="AA51" s="105"/>
      <c r="AB51" s="105"/>
    </row>
    <row r="52" spans="1:28" ht="17.25">
      <c r="A52" s="105" t="s">
        <v>279</v>
      </c>
      <c r="B52" s="106" t="s">
        <v>280</v>
      </c>
      <c r="C52" s="105">
        <v>31155</v>
      </c>
      <c r="D52" s="105" t="s">
        <v>259</v>
      </c>
      <c r="E52" s="105">
        <v>100</v>
      </c>
      <c r="F52" s="105">
        <v>1.31</v>
      </c>
      <c r="G52" s="105">
        <v>202</v>
      </c>
      <c r="H52" s="105">
        <v>5</v>
      </c>
      <c r="I52" s="105">
        <v>0.26</v>
      </c>
      <c r="J52" s="105">
        <v>10</v>
      </c>
      <c r="K52" s="105">
        <v>15</v>
      </c>
      <c r="L52" s="105">
        <v>2.4700000000000002</v>
      </c>
      <c r="M52" s="105">
        <v>30</v>
      </c>
      <c r="N52" s="105">
        <v>5</v>
      </c>
      <c r="O52" s="105">
        <v>0.9</v>
      </c>
      <c r="P52" s="105">
        <v>10</v>
      </c>
      <c r="Q52" s="105">
        <v>1</v>
      </c>
      <c r="R52" s="110">
        <f t="shared" si="5"/>
        <v>0.18</v>
      </c>
      <c r="S52" s="110">
        <v>5</v>
      </c>
      <c r="T52" s="109">
        <v>0.82</v>
      </c>
      <c r="U52" s="110">
        <v>10</v>
      </c>
      <c r="V52" s="110">
        <v>5</v>
      </c>
      <c r="W52" s="110">
        <v>0.82</v>
      </c>
      <c r="X52" s="110">
        <v>15</v>
      </c>
      <c r="Y52" s="110">
        <v>2.4700000000000002</v>
      </c>
      <c r="Z52" s="105"/>
      <c r="AA52" s="105"/>
      <c r="AB52" s="105"/>
    </row>
    <row r="53" spans="1:28" ht="28.5">
      <c r="A53" s="105" t="s">
        <v>281</v>
      </c>
      <c r="B53" s="106" t="s">
        <v>282</v>
      </c>
      <c r="C53" s="105">
        <v>31155</v>
      </c>
      <c r="D53" s="105" t="s">
        <v>259</v>
      </c>
      <c r="E53" s="105">
        <v>100</v>
      </c>
      <c r="F53" s="105">
        <v>2.59</v>
      </c>
      <c r="G53" s="105">
        <v>400</v>
      </c>
      <c r="H53" s="105">
        <v>0</v>
      </c>
      <c r="I53" s="105">
        <v>0</v>
      </c>
      <c r="J53" s="105">
        <v>0</v>
      </c>
      <c r="K53" s="105">
        <v>15</v>
      </c>
      <c r="L53" s="105">
        <v>4.9400000000000004</v>
      </c>
      <c r="M53" s="105">
        <v>60</v>
      </c>
      <c r="N53" s="105">
        <v>5</v>
      </c>
      <c r="O53" s="105">
        <v>1.79</v>
      </c>
      <c r="P53" s="105">
        <v>20</v>
      </c>
      <c r="Q53" s="105">
        <v>0.2</v>
      </c>
      <c r="R53" s="110">
        <f t="shared" si="5"/>
        <v>7.1599999999999997E-2</v>
      </c>
      <c r="S53" s="110">
        <v>5</v>
      </c>
      <c r="T53" s="109">
        <v>1.65</v>
      </c>
      <c r="U53" s="110">
        <v>20</v>
      </c>
      <c r="V53" s="110">
        <v>5</v>
      </c>
      <c r="W53" s="110">
        <f t="shared" si="1"/>
        <v>1.65</v>
      </c>
      <c r="X53" s="110">
        <v>15</v>
      </c>
      <c r="Y53" s="110">
        <v>4.9400000000000004</v>
      </c>
      <c r="Z53" s="105"/>
      <c r="AA53" s="105"/>
      <c r="AB53" s="105"/>
    </row>
    <row r="54" spans="1:28" ht="17.25">
      <c r="A54" s="105" t="s">
        <v>283</v>
      </c>
      <c r="B54" s="106" t="s">
        <v>284</v>
      </c>
      <c r="C54" s="105">
        <v>31155</v>
      </c>
      <c r="D54" s="105" t="s">
        <v>259</v>
      </c>
      <c r="E54" s="105">
        <v>100</v>
      </c>
      <c r="F54" s="105">
        <v>1.29</v>
      </c>
      <c r="G54" s="105">
        <v>200</v>
      </c>
      <c r="H54" s="105">
        <v>0</v>
      </c>
      <c r="I54" s="105">
        <v>0</v>
      </c>
      <c r="J54" s="105">
        <v>0</v>
      </c>
      <c r="K54" s="105">
        <v>2.5</v>
      </c>
      <c r="L54" s="105">
        <v>0.41</v>
      </c>
      <c r="M54" s="105">
        <v>5</v>
      </c>
      <c r="N54" s="105">
        <v>4</v>
      </c>
      <c r="O54" s="105">
        <v>0.72</v>
      </c>
      <c r="P54" s="105">
        <v>8</v>
      </c>
      <c r="Q54" s="105">
        <v>0.3</v>
      </c>
      <c r="R54" s="110">
        <f t="shared" si="5"/>
        <v>5.3999999999999999E-2</v>
      </c>
      <c r="S54" s="110">
        <v>0</v>
      </c>
      <c r="T54" s="109">
        <v>0</v>
      </c>
      <c r="U54" s="110">
        <v>0</v>
      </c>
      <c r="V54" s="110">
        <v>0</v>
      </c>
      <c r="W54" s="110">
        <v>0</v>
      </c>
      <c r="X54" s="110">
        <v>0</v>
      </c>
      <c r="Y54" s="110">
        <v>0</v>
      </c>
      <c r="Z54" s="105"/>
      <c r="AA54" s="105"/>
      <c r="AB54" s="105"/>
    </row>
    <row r="55" spans="1:28" ht="17.25">
      <c r="A55" s="105" t="s">
        <v>285</v>
      </c>
      <c r="B55" s="106" t="s">
        <v>286</v>
      </c>
      <c r="C55" s="105">
        <v>31155</v>
      </c>
      <c r="D55" s="105" t="s">
        <v>259</v>
      </c>
      <c r="E55" s="105">
        <v>100</v>
      </c>
      <c r="F55" s="105">
        <v>0.97</v>
      </c>
      <c r="G55" s="105">
        <v>150</v>
      </c>
      <c r="H55" s="105">
        <v>0</v>
      </c>
      <c r="I55" s="105">
        <v>0</v>
      </c>
      <c r="J55" s="105">
        <v>0</v>
      </c>
      <c r="K55" s="105">
        <v>5</v>
      </c>
      <c r="L55" s="105">
        <v>0.82</v>
      </c>
      <c r="M55" s="105">
        <v>10</v>
      </c>
      <c r="N55" s="105">
        <v>3.33</v>
      </c>
      <c r="O55" s="105">
        <v>0.45</v>
      </c>
      <c r="P55" s="105">
        <v>5</v>
      </c>
      <c r="Q55" s="105">
        <v>0.3</v>
      </c>
      <c r="R55" s="110">
        <f t="shared" si="5"/>
        <v>4.0540540540540543E-2</v>
      </c>
      <c r="S55" s="110">
        <v>2</v>
      </c>
      <c r="T55" s="109">
        <v>0.33</v>
      </c>
      <c r="U55" s="110">
        <v>4</v>
      </c>
      <c r="V55" s="110">
        <v>0</v>
      </c>
      <c r="W55" s="110">
        <v>0</v>
      </c>
      <c r="X55" s="110">
        <v>0</v>
      </c>
      <c r="Y55" s="110">
        <v>0</v>
      </c>
      <c r="Z55" s="105"/>
      <c r="AA55" s="105"/>
      <c r="AB55" s="105"/>
    </row>
    <row r="56" spans="1:28" ht="17.25">
      <c r="A56" s="105" t="s">
        <v>287</v>
      </c>
      <c r="B56" s="106" t="s">
        <v>288</v>
      </c>
      <c r="C56" s="105">
        <v>31155</v>
      </c>
      <c r="D56" s="105" t="s">
        <v>259</v>
      </c>
      <c r="E56" s="105">
        <v>100</v>
      </c>
      <c r="F56" s="105">
        <v>0.97</v>
      </c>
      <c r="G56" s="105">
        <v>150</v>
      </c>
      <c r="H56" s="105">
        <v>0</v>
      </c>
      <c r="I56" s="105">
        <v>0</v>
      </c>
      <c r="J56" s="105">
        <v>0</v>
      </c>
      <c r="K56" s="105">
        <v>1</v>
      </c>
      <c r="L56" s="105">
        <v>0</v>
      </c>
      <c r="M56" s="105">
        <v>0.01</v>
      </c>
      <c r="N56" s="105">
        <v>3.33</v>
      </c>
      <c r="O56" s="105">
        <v>0.45</v>
      </c>
      <c r="P56" s="105">
        <v>5</v>
      </c>
      <c r="Q56" s="105">
        <v>0.3</v>
      </c>
      <c r="R56" s="110">
        <f t="shared" si="5"/>
        <v>4.0540540540540543E-2</v>
      </c>
      <c r="S56" s="110">
        <v>1</v>
      </c>
      <c r="T56" s="109">
        <v>0</v>
      </c>
      <c r="U56" s="110">
        <v>0.01</v>
      </c>
      <c r="V56" s="110">
        <v>0</v>
      </c>
      <c r="W56" s="110">
        <v>0</v>
      </c>
      <c r="X56" s="110">
        <v>0</v>
      </c>
      <c r="Y56" s="110">
        <v>0</v>
      </c>
      <c r="Z56" s="105"/>
      <c r="AA56" s="105"/>
      <c r="AB56" s="105"/>
    </row>
    <row r="57" spans="1:28" ht="28.5">
      <c r="A57" s="105" t="s">
        <v>289</v>
      </c>
      <c r="B57" s="106" t="s">
        <v>290</v>
      </c>
      <c r="C57" s="105">
        <v>31155</v>
      </c>
      <c r="D57" s="105" t="s">
        <v>259</v>
      </c>
      <c r="E57" s="105">
        <v>100</v>
      </c>
      <c r="F57" s="105">
        <v>0.97</v>
      </c>
      <c r="G57" s="105">
        <v>150</v>
      </c>
      <c r="H57" s="105">
        <v>0</v>
      </c>
      <c r="I57" s="105">
        <v>0</v>
      </c>
      <c r="J57" s="105">
        <v>0</v>
      </c>
      <c r="K57" s="105">
        <v>1</v>
      </c>
      <c r="L57" s="105">
        <v>0</v>
      </c>
      <c r="M57" s="105">
        <v>0.01</v>
      </c>
      <c r="N57" s="105">
        <v>3.33</v>
      </c>
      <c r="O57" s="105">
        <v>0.45</v>
      </c>
      <c r="P57" s="105">
        <v>5</v>
      </c>
      <c r="Q57" s="105">
        <v>0.3</v>
      </c>
      <c r="R57" s="110">
        <f t="shared" si="5"/>
        <v>4.0540540540540543E-2</v>
      </c>
      <c r="S57" s="110">
        <v>1</v>
      </c>
      <c r="T57" s="109">
        <v>0</v>
      </c>
      <c r="U57" s="110">
        <v>0.01</v>
      </c>
      <c r="V57" s="110">
        <v>0</v>
      </c>
      <c r="W57" s="110">
        <v>0</v>
      </c>
      <c r="X57" s="110">
        <v>0</v>
      </c>
      <c r="Y57" s="110">
        <v>0</v>
      </c>
      <c r="Z57" s="105"/>
      <c r="AA57" s="105"/>
      <c r="AB57" s="105"/>
    </row>
    <row r="58" spans="1:28" ht="17.25">
      <c r="A58" s="105" t="s">
        <v>291</v>
      </c>
      <c r="B58" s="106" t="s">
        <v>292</v>
      </c>
      <c r="C58" s="105">
        <v>31155</v>
      </c>
      <c r="D58" s="105" t="s">
        <v>259</v>
      </c>
      <c r="E58" s="105">
        <v>100</v>
      </c>
      <c r="F58" s="105">
        <v>0.65</v>
      </c>
      <c r="G58" s="105">
        <v>100</v>
      </c>
      <c r="H58" s="105">
        <v>0</v>
      </c>
      <c r="I58" s="105">
        <v>0</v>
      </c>
      <c r="J58" s="105">
        <v>0</v>
      </c>
      <c r="K58" s="105">
        <v>1</v>
      </c>
      <c r="L58" s="105">
        <v>0</v>
      </c>
      <c r="M58" s="105">
        <v>0.01</v>
      </c>
      <c r="N58" s="105">
        <v>3.33</v>
      </c>
      <c r="O58" s="105">
        <v>0.3</v>
      </c>
      <c r="P58" s="105">
        <v>3.33</v>
      </c>
      <c r="Q58" s="105">
        <v>0.3</v>
      </c>
      <c r="R58" s="110">
        <f t="shared" si="5"/>
        <v>2.7027027027027025E-2</v>
      </c>
      <c r="S58" s="110">
        <v>1</v>
      </c>
      <c r="T58" s="109">
        <v>0</v>
      </c>
      <c r="U58" s="110">
        <v>0.01</v>
      </c>
      <c r="V58" s="110">
        <v>0</v>
      </c>
      <c r="W58" s="110">
        <v>0</v>
      </c>
      <c r="X58" s="110">
        <v>0</v>
      </c>
      <c r="Y58" s="110">
        <v>0</v>
      </c>
      <c r="Z58" s="105"/>
      <c r="AA58" s="105"/>
      <c r="AB58" s="105"/>
    </row>
    <row r="59" spans="1:28" ht="17.25">
      <c r="A59" s="105" t="s">
        <v>293</v>
      </c>
      <c r="B59" s="106" t="s">
        <v>294</v>
      </c>
      <c r="C59" s="105">
        <v>31155</v>
      </c>
      <c r="D59" s="105" t="s">
        <v>259</v>
      </c>
      <c r="E59" s="105">
        <v>100</v>
      </c>
      <c r="F59" s="105">
        <v>0.97</v>
      </c>
      <c r="G59" s="105">
        <v>150</v>
      </c>
      <c r="H59" s="105">
        <v>0</v>
      </c>
      <c r="I59" s="105">
        <v>0</v>
      </c>
      <c r="J59" s="105">
        <v>0</v>
      </c>
      <c r="K59" s="105">
        <v>1</v>
      </c>
      <c r="L59" s="105">
        <v>0</v>
      </c>
      <c r="M59" s="105">
        <v>0.01</v>
      </c>
      <c r="N59" s="105">
        <v>3.33</v>
      </c>
      <c r="O59" s="105">
        <v>0.45</v>
      </c>
      <c r="P59" s="105">
        <v>5</v>
      </c>
      <c r="Q59" s="105">
        <v>0.3</v>
      </c>
      <c r="R59" s="110">
        <f t="shared" si="5"/>
        <v>4.0540540540540543E-2</v>
      </c>
      <c r="S59" s="110">
        <v>1</v>
      </c>
      <c r="T59" s="109">
        <v>0</v>
      </c>
      <c r="U59" s="110">
        <v>0.01</v>
      </c>
      <c r="V59" s="110">
        <v>0</v>
      </c>
      <c r="W59" s="110">
        <v>0</v>
      </c>
      <c r="X59" s="110">
        <v>0</v>
      </c>
      <c r="Y59" s="110">
        <v>0</v>
      </c>
      <c r="Z59" s="105"/>
      <c r="AA59" s="105"/>
      <c r="AB59" s="105"/>
    </row>
    <row r="60" spans="1:28" ht="17.25">
      <c r="A60" s="105" t="s">
        <v>295</v>
      </c>
      <c r="B60" s="106" t="s">
        <v>296</v>
      </c>
      <c r="C60" s="105">
        <v>31155</v>
      </c>
      <c r="D60" s="105" t="s">
        <v>259</v>
      </c>
      <c r="E60" s="105">
        <v>100</v>
      </c>
      <c r="F60" s="105">
        <v>0.65</v>
      </c>
      <c r="G60" s="105">
        <v>100</v>
      </c>
      <c r="H60" s="105">
        <v>0</v>
      </c>
      <c r="I60" s="105">
        <v>0</v>
      </c>
      <c r="J60" s="105">
        <v>0</v>
      </c>
      <c r="K60" s="105">
        <v>1</v>
      </c>
      <c r="L60" s="105">
        <v>0</v>
      </c>
      <c r="M60" s="105">
        <v>0.01</v>
      </c>
      <c r="N60" s="105">
        <v>3.33</v>
      </c>
      <c r="O60" s="105">
        <v>0.3</v>
      </c>
      <c r="P60" s="105">
        <v>3.33</v>
      </c>
      <c r="Q60" s="105">
        <v>0</v>
      </c>
      <c r="R60" s="110">
        <f t="shared" si="5"/>
        <v>0</v>
      </c>
      <c r="S60" s="110">
        <v>1</v>
      </c>
      <c r="T60" s="109">
        <v>0</v>
      </c>
      <c r="U60" s="110">
        <v>0.01</v>
      </c>
      <c r="V60" s="110">
        <v>0</v>
      </c>
      <c r="W60" s="110">
        <v>0</v>
      </c>
      <c r="X60" s="110">
        <v>0</v>
      </c>
      <c r="Y60" s="110">
        <v>0</v>
      </c>
      <c r="Z60" s="105"/>
      <c r="AA60" s="105"/>
      <c r="AB60" s="105"/>
    </row>
    <row r="61" spans="1:28" ht="17.25">
      <c r="A61" s="105" t="s">
        <v>297</v>
      </c>
      <c r="B61" s="106" t="s">
        <v>298</v>
      </c>
      <c r="C61" s="105">
        <v>31155</v>
      </c>
      <c r="D61" s="105" t="s">
        <v>259</v>
      </c>
      <c r="E61" s="105">
        <v>100</v>
      </c>
      <c r="F61" s="105">
        <v>0.65</v>
      </c>
      <c r="G61" s="105">
        <v>100</v>
      </c>
      <c r="H61" s="105">
        <v>0</v>
      </c>
      <c r="I61" s="105">
        <v>0</v>
      </c>
      <c r="J61" s="105">
        <v>0</v>
      </c>
      <c r="K61" s="105">
        <v>1</v>
      </c>
      <c r="L61" s="105">
        <v>0</v>
      </c>
      <c r="M61" s="105">
        <v>0.01</v>
      </c>
      <c r="N61" s="105">
        <v>3.33</v>
      </c>
      <c r="O61" s="105">
        <v>0.3</v>
      </c>
      <c r="P61" s="105">
        <v>3.33</v>
      </c>
      <c r="Q61" s="105">
        <v>0.3</v>
      </c>
      <c r="R61" s="110">
        <f t="shared" si="5"/>
        <v>2.7027027027027025E-2</v>
      </c>
      <c r="S61" s="110">
        <v>1</v>
      </c>
      <c r="T61" s="109">
        <v>0</v>
      </c>
      <c r="U61" s="110">
        <v>0.01</v>
      </c>
      <c r="V61" s="110">
        <v>0</v>
      </c>
      <c r="W61" s="110">
        <v>0</v>
      </c>
      <c r="X61" s="110">
        <v>0</v>
      </c>
      <c r="Y61" s="110">
        <v>0</v>
      </c>
      <c r="Z61" s="105"/>
      <c r="AA61" s="105"/>
      <c r="AB61" s="105"/>
    </row>
    <row r="62" spans="1:28" ht="17.25">
      <c r="A62" s="105" t="s">
        <v>299</v>
      </c>
      <c r="B62" s="106" t="s">
        <v>300</v>
      </c>
      <c r="C62" s="105">
        <v>31155</v>
      </c>
      <c r="D62" s="105" t="s">
        <v>259</v>
      </c>
      <c r="E62" s="105">
        <v>100</v>
      </c>
      <c r="F62" s="105">
        <v>1.29</v>
      </c>
      <c r="G62" s="105">
        <v>200</v>
      </c>
      <c r="H62" s="105">
        <v>0</v>
      </c>
      <c r="I62" s="105">
        <v>0</v>
      </c>
      <c r="J62" s="105">
        <v>0</v>
      </c>
      <c r="K62" s="105">
        <v>1</v>
      </c>
      <c r="L62" s="105">
        <v>0</v>
      </c>
      <c r="M62" s="105">
        <v>0.01</v>
      </c>
      <c r="N62" s="105">
        <v>1</v>
      </c>
      <c r="O62" s="105">
        <v>0.18</v>
      </c>
      <c r="P62" s="105">
        <v>2</v>
      </c>
      <c r="Q62" s="105">
        <v>0</v>
      </c>
      <c r="R62" s="110">
        <f t="shared" si="5"/>
        <v>0</v>
      </c>
      <c r="S62" s="110">
        <v>1</v>
      </c>
      <c r="T62" s="109">
        <v>0</v>
      </c>
      <c r="U62" s="110">
        <v>0.01</v>
      </c>
      <c r="V62" s="110">
        <v>0</v>
      </c>
      <c r="W62" s="110">
        <v>0</v>
      </c>
      <c r="X62" s="110">
        <v>0</v>
      </c>
      <c r="Y62" s="110">
        <v>0</v>
      </c>
      <c r="Z62" s="105"/>
      <c r="AA62" s="105"/>
      <c r="AB62" s="105"/>
    </row>
    <row r="63" spans="1:28" ht="17.25">
      <c r="A63" s="105" t="s">
        <v>301</v>
      </c>
      <c r="B63" s="106" t="s">
        <v>302</v>
      </c>
      <c r="C63" s="105">
        <v>31155</v>
      </c>
      <c r="D63" s="105" t="s">
        <v>259</v>
      </c>
      <c r="E63" s="105">
        <v>100</v>
      </c>
      <c r="F63" s="105">
        <v>1.94</v>
      </c>
      <c r="G63" s="105">
        <v>300</v>
      </c>
      <c r="H63" s="105">
        <v>0</v>
      </c>
      <c r="I63" s="105">
        <v>0</v>
      </c>
      <c r="J63" s="105">
        <v>0</v>
      </c>
      <c r="K63" s="105">
        <v>1</v>
      </c>
      <c r="L63" s="105">
        <v>0</v>
      </c>
      <c r="M63" s="105">
        <v>0.01</v>
      </c>
      <c r="N63" s="105">
        <v>2</v>
      </c>
      <c r="O63" s="105">
        <v>0.54</v>
      </c>
      <c r="P63" s="105">
        <v>6</v>
      </c>
      <c r="Q63" s="105">
        <v>0.3</v>
      </c>
      <c r="R63" s="110">
        <f t="shared" si="5"/>
        <v>8.1000000000000003E-2</v>
      </c>
      <c r="S63" s="110">
        <v>1</v>
      </c>
      <c r="T63" s="109">
        <v>0</v>
      </c>
      <c r="U63" s="110">
        <v>0.01</v>
      </c>
      <c r="V63" s="110">
        <v>0</v>
      </c>
      <c r="W63" s="110">
        <v>0</v>
      </c>
      <c r="X63" s="110">
        <v>0</v>
      </c>
      <c r="Y63" s="110">
        <v>0</v>
      </c>
      <c r="Z63" s="105"/>
      <c r="AA63" s="105"/>
      <c r="AB63" s="105"/>
    </row>
    <row r="64" spans="1:28" ht="17.25">
      <c r="A64" s="105" t="s">
        <v>303</v>
      </c>
      <c r="B64" s="106" t="s">
        <v>304</v>
      </c>
      <c r="C64" s="105">
        <v>31155</v>
      </c>
      <c r="D64" s="105" t="s">
        <v>259</v>
      </c>
      <c r="E64" s="105">
        <v>100</v>
      </c>
      <c r="F64" s="105">
        <v>1.29</v>
      </c>
      <c r="G64" s="105">
        <v>200</v>
      </c>
      <c r="H64" s="105">
        <v>0</v>
      </c>
      <c r="I64" s="105">
        <v>0</v>
      </c>
      <c r="J64" s="105">
        <v>0</v>
      </c>
      <c r="K64" s="105">
        <v>1</v>
      </c>
      <c r="L64" s="105">
        <v>0</v>
      </c>
      <c r="M64" s="105">
        <v>0.01</v>
      </c>
      <c r="N64" s="105">
        <v>1</v>
      </c>
      <c r="O64" s="105">
        <v>0.18</v>
      </c>
      <c r="P64" s="105">
        <v>2</v>
      </c>
      <c r="Q64" s="105">
        <v>0.2</v>
      </c>
      <c r="R64" s="110">
        <f t="shared" si="5"/>
        <v>3.5999999999999997E-2</v>
      </c>
      <c r="S64" s="110">
        <v>1</v>
      </c>
      <c r="T64" s="109">
        <v>0</v>
      </c>
      <c r="U64" s="110">
        <v>0.01</v>
      </c>
      <c r="V64" s="110">
        <v>0</v>
      </c>
      <c r="W64" s="110">
        <v>0</v>
      </c>
      <c r="X64" s="110">
        <v>0</v>
      </c>
      <c r="Y64" s="110">
        <v>0</v>
      </c>
      <c r="Z64" s="105"/>
      <c r="AA64" s="105"/>
      <c r="AB64" s="105"/>
    </row>
    <row r="65" spans="1:30" ht="17.25">
      <c r="A65" s="105" t="s">
        <v>305</v>
      </c>
      <c r="B65" s="106" t="s">
        <v>306</v>
      </c>
      <c r="C65" s="105">
        <v>31155</v>
      </c>
      <c r="D65" s="105" t="s">
        <v>259</v>
      </c>
      <c r="E65" s="105">
        <v>100</v>
      </c>
      <c r="F65" s="105">
        <v>0.65</v>
      </c>
      <c r="G65" s="105">
        <v>100</v>
      </c>
      <c r="H65" s="105">
        <v>0</v>
      </c>
      <c r="I65" s="105">
        <v>0</v>
      </c>
      <c r="J65" s="105">
        <v>0</v>
      </c>
      <c r="K65" s="105">
        <v>1</v>
      </c>
      <c r="L65" s="105">
        <v>0.41</v>
      </c>
      <c r="M65" s="105">
        <v>5.0199999999999996</v>
      </c>
      <c r="N65" s="105">
        <v>1.5</v>
      </c>
      <c r="O65" s="105">
        <v>0.13</v>
      </c>
      <c r="P65" s="105">
        <v>1.5</v>
      </c>
      <c r="Q65" s="105">
        <v>0</v>
      </c>
      <c r="R65" s="110">
        <f t="shared" si="5"/>
        <v>0</v>
      </c>
      <c r="S65" s="110">
        <v>1</v>
      </c>
      <c r="T65" s="109">
        <v>0.41</v>
      </c>
      <c r="U65" s="110">
        <v>5.0199999999999996</v>
      </c>
      <c r="V65" s="110">
        <v>1</v>
      </c>
      <c r="W65" s="110">
        <f t="shared" si="1"/>
        <v>0.41</v>
      </c>
      <c r="X65" s="110">
        <f t="shared" si="0"/>
        <v>1</v>
      </c>
      <c r="Y65" s="110">
        <f t="shared" si="0"/>
        <v>0.41</v>
      </c>
      <c r="Z65" s="105"/>
      <c r="AA65" s="105"/>
      <c r="AB65" s="105"/>
    </row>
    <row r="66" spans="1:30" ht="28.5">
      <c r="A66" s="105" t="s">
        <v>307</v>
      </c>
      <c r="B66" s="106" t="s">
        <v>308</v>
      </c>
      <c r="C66" s="105">
        <v>31155</v>
      </c>
      <c r="D66" s="105" t="s">
        <v>259</v>
      </c>
      <c r="E66" s="105">
        <v>100</v>
      </c>
      <c r="F66" s="105">
        <v>1.29</v>
      </c>
      <c r="G66" s="105">
        <v>200</v>
      </c>
      <c r="H66" s="105">
        <v>0</v>
      </c>
      <c r="I66" s="105">
        <v>0</v>
      </c>
      <c r="J66" s="105">
        <v>0</v>
      </c>
      <c r="K66" s="105">
        <v>2.5</v>
      </c>
      <c r="L66" s="105">
        <v>0.41</v>
      </c>
      <c r="M66" s="105">
        <v>5</v>
      </c>
      <c r="N66" s="105">
        <v>1</v>
      </c>
      <c r="O66" s="105">
        <v>0.18</v>
      </c>
      <c r="P66" s="105">
        <v>2</v>
      </c>
      <c r="Q66" s="105">
        <v>0</v>
      </c>
      <c r="R66" s="110">
        <f t="shared" si="5"/>
        <v>0</v>
      </c>
      <c r="S66" s="110">
        <v>2.5</v>
      </c>
      <c r="T66" s="109">
        <v>0.41</v>
      </c>
      <c r="U66" s="110">
        <v>1</v>
      </c>
      <c r="V66" s="110">
        <v>2.5</v>
      </c>
      <c r="W66" s="110">
        <f t="shared" si="1"/>
        <v>0.40999999999999992</v>
      </c>
      <c r="X66" s="110">
        <f t="shared" si="0"/>
        <v>2.5</v>
      </c>
      <c r="Y66" s="110">
        <f t="shared" si="0"/>
        <v>0.40999999999999992</v>
      </c>
      <c r="Z66" s="105"/>
      <c r="AA66" s="105"/>
      <c r="AB66" s="105"/>
    </row>
    <row r="67" spans="1:30" ht="17.25">
      <c r="A67" s="105" t="s">
        <v>309</v>
      </c>
      <c r="B67" s="106" t="s">
        <v>310</v>
      </c>
      <c r="C67" s="105">
        <v>31155</v>
      </c>
      <c r="D67" s="105" t="s">
        <v>259</v>
      </c>
      <c r="E67" s="105">
        <v>100</v>
      </c>
      <c r="F67" s="105">
        <v>0.81</v>
      </c>
      <c r="G67" s="105">
        <v>125</v>
      </c>
      <c r="H67" s="105">
        <v>0</v>
      </c>
      <c r="I67" s="105">
        <v>0</v>
      </c>
      <c r="J67" s="105">
        <v>0</v>
      </c>
      <c r="K67" s="105">
        <v>1</v>
      </c>
      <c r="L67" s="105">
        <v>0.41</v>
      </c>
      <c r="M67" s="105">
        <v>5</v>
      </c>
      <c r="N67" s="105">
        <v>4</v>
      </c>
      <c r="O67" s="105">
        <v>0.45</v>
      </c>
      <c r="P67" s="105">
        <v>5</v>
      </c>
      <c r="Q67" s="105">
        <v>0.3</v>
      </c>
      <c r="R67" s="110">
        <f t="shared" si="5"/>
        <v>3.3750000000000002E-2</v>
      </c>
      <c r="S67" s="110">
        <v>0.5</v>
      </c>
      <c r="T67" s="109">
        <v>0.21</v>
      </c>
      <c r="U67" s="110">
        <v>2.5</v>
      </c>
      <c r="V67" s="110">
        <v>0</v>
      </c>
      <c r="W67" s="110">
        <f t="shared" si="1"/>
        <v>0</v>
      </c>
      <c r="X67" s="110">
        <v>0</v>
      </c>
      <c r="Y67" s="110">
        <v>0</v>
      </c>
      <c r="Z67" s="105"/>
      <c r="AA67" s="105"/>
      <c r="AB67" s="105"/>
    </row>
    <row r="68" spans="1:30" ht="17.25">
      <c r="A68" s="105" t="s">
        <v>311</v>
      </c>
      <c r="B68" s="106" t="s">
        <v>312</v>
      </c>
      <c r="C68" s="105">
        <v>31155</v>
      </c>
      <c r="D68" s="105" t="s">
        <v>259</v>
      </c>
      <c r="E68" s="105">
        <v>100</v>
      </c>
      <c r="F68" s="105">
        <v>0.65</v>
      </c>
      <c r="G68" s="105">
        <v>100</v>
      </c>
      <c r="H68" s="105">
        <v>0</v>
      </c>
      <c r="I68" s="105">
        <v>0</v>
      </c>
      <c r="J68" s="105">
        <v>0</v>
      </c>
      <c r="K68" s="105">
        <v>1</v>
      </c>
      <c r="L68" s="105">
        <v>0</v>
      </c>
      <c r="M68" s="105">
        <v>0.01</v>
      </c>
      <c r="N68" s="105">
        <v>0.5</v>
      </c>
      <c r="O68" s="105">
        <v>0.01</v>
      </c>
      <c r="P68" s="105">
        <v>0.1</v>
      </c>
      <c r="Q68" s="105">
        <v>0</v>
      </c>
      <c r="R68" s="110">
        <f t="shared" si="5"/>
        <v>0</v>
      </c>
      <c r="S68" s="110">
        <v>1</v>
      </c>
      <c r="T68" s="109">
        <v>0</v>
      </c>
      <c r="U68" s="110">
        <v>0.01</v>
      </c>
      <c r="V68" s="110">
        <v>0</v>
      </c>
      <c r="W68" s="110">
        <f t="shared" si="1"/>
        <v>0</v>
      </c>
      <c r="X68" s="110">
        <v>0</v>
      </c>
      <c r="Y68" s="110">
        <v>0</v>
      </c>
      <c r="Z68" s="105"/>
      <c r="AA68" s="105"/>
      <c r="AB68" s="105"/>
    </row>
    <row r="69" spans="1:30" ht="17.25">
      <c r="A69" s="105" t="s">
        <v>313</v>
      </c>
      <c r="B69" s="106" t="s">
        <v>314</v>
      </c>
      <c r="C69" s="105">
        <v>31155</v>
      </c>
      <c r="D69" s="105" t="s">
        <v>259</v>
      </c>
      <c r="E69" s="105">
        <v>100</v>
      </c>
      <c r="F69" s="105">
        <v>0.65</v>
      </c>
      <c r="G69" s="105">
        <v>100</v>
      </c>
      <c r="H69" s="105">
        <v>0</v>
      </c>
      <c r="I69" s="105">
        <v>0</v>
      </c>
      <c r="J69" s="105">
        <v>0</v>
      </c>
      <c r="K69" s="105">
        <v>1</v>
      </c>
      <c r="L69" s="105">
        <v>0</v>
      </c>
      <c r="M69" s="105">
        <v>0.01</v>
      </c>
      <c r="N69" s="105">
        <v>0.33</v>
      </c>
      <c r="O69" s="105">
        <v>0.01</v>
      </c>
      <c r="P69" s="105">
        <v>0.1</v>
      </c>
      <c r="Q69" s="105">
        <v>0</v>
      </c>
      <c r="R69" s="110">
        <f t="shared" si="5"/>
        <v>0</v>
      </c>
      <c r="S69" s="110">
        <v>1</v>
      </c>
      <c r="T69" s="109">
        <v>0</v>
      </c>
      <c r="U69" s="110">
        <v>0.01</v>
      </c>
      <c r="V69" s="110">
        <v>0</v>
      </c>
      <c r="W69" s="110">
        <f t="shared" si="1"/>
        <v>0</v>
      </c>
      <c r="X69" s="110">
        <v>0</v>
      </c>
      <c r="Y69" s="110">
        <v>0</v>
      </c>
      <c r="Z69" s="105"/>
      <c r="AA69" s="105"/>
      <c r="AB69" s="105"/>
    </row>
    <row r="70" spans="1:30" ht="17.25">
      <c r="A70" s="105" t="s">
        <v>315</v>
      </c>
      <c r="B70" s="106" t="s">
        <v>316</v>
      </c>
      <c r="C70" s="105">
        <v>31155</v>
      </c>
      <c r="D70" s="105" t="s">
        <v>259</v>
      </c>
      <c r="E70" s="105">
        <v>100</v>
      </c>
      <c r="F70" s="105">
        <v>0.65</v>
      </c>
      <c r="G70" s="105">
        <v>100</v>
      </c>
      <c r="H70" s="105">
        <v>0</v>
      </c>
      <c r="I70" s="105">
        <v>0</v>
      </c>
      <c r="J70" s="105">
        <v>0</v>
      </c>
      <c r="K70" s="105">
        <v>1</v>
      </c>
      <c r="L70" s="105">
        <v>0</v>
      </c>
      <c r="M70" s="105">
        <v>0.01</v>
      </c>
      <c r="N70" s="105">
        <v>0.33</v>
      </c>
      <c r="O70" s="105">
        <v>0.01</v>
      </c>
      <c r="P70" s="105">
        <v>0.1</v>
      </c>
      <c r="Q70" s="105">
        <v>0</v>
      </c>
      <c r="R70" s="110">
        <f t="shared" si="5"/>
        <v>0</v>
      </c>
      <c r="S70" s="110">
        <v>1</v>
      </c>
      <c r="T70" s="109">
        <v>0</v>
      </c>
      <c r="U70" s="110">
        <v>0.01</v>
      </c>
      <c r="V70" s="110">
        <v>0</v>
      </c>
      <c r="W70" s="110">
        <f t="shared" si="1"/>
        <v>0</v>
      </c>
      <c r="X70" s="110">
        <v>0</v>
      </c>
      <c r="Y70" s="110">
        <v>0</v>
      </c>
      <c r="Z70" s="105"/>
      <c r="AA70" s="105"/>
      <c r="AB70" s="105"/>
    </row>
    <row r="71" spans="1:30" ht="17.25">
      <c r="A71" s="105" t="s">
        <v>317</v>
      </c>
      <c r="B71" s="106" t="s">
        <v>318</v>
      </c>
      <c r="C71" s="105">
        <v>31155</v>
      </c>
      <c r="D71" s="105" t="s">
        <v>259</v>
      </c>
      <c r="E71" s="105">
        <v>100</v>
      </c>
      <c r="F71" s="105">
        <v>0.65</v>
      </c>
      <c r="G71" s="105">
        <v>100</v>
      </c>
      <c r="H71" s="105">
        <v>0</v>
      </c>
      <c r="I71" s="105">
        <v>0</v>
      </c>
      <c r="J71" s="105">
        <v>0</v>
      </c>
      <c r="K71" s="105">
        <v>1</v>
      </c>
      <c r="L71" s="105">
        <v>0</v>
      </c>
      <c r="M71" s="105">
        <v>0.01</v>
      </c>
      <c r="N71" s="105">
        <v>0.33</v>
      </c>
      <c r="O71" s="105">
        <v>0.01</v>
      </c>
      <c r="P71" s="105">
        <v>0.1</v>
      </c>
      <c r="Q71" s="105">
        <v>0</v>
      </c>
      <c r="R71" s="110">
        <f t="shared" si="5"/>
        <v>0</v>
      </c>
      <c r="S71" s="110">
        <v>1</v>
      </c>
      <c r="T71" s="109">
        <v>0</v>
      </c>
      <c r="U71" s="110">
        <v>0.01</v>
      </c>
      <c r="V71" s="110">
        <v>0</v>
      </c>
      <c r="W71" s="110">
        <f t="shared" si="1"/>
        <v>0</v>
      </c>
      <c r="X71" s="110">
        <v>0</v>
      </c>
      <c r="Y71" s="110">
        <v>0</v>
      </c>
      <c r="Z71" s="105"/>
      <c r="AA71" s="105"/>
      <c r="AB71" s="105"/>
    </row>
    <row r="72" spans="1:30" ht="17.25">
      <c r="A72" s="105" t="s">
        <v>319</v>
      </c>
      <c r="B72" s="106" t="s">
        <v>320</v>
      </c>
      <c r="C72" s="105">
        <v>31155</v>
      </c>
      <c r="D72" s="105" t="s">
        <v>259</v>
      </c>
      <c r="E72" s="105">
        <v>100</v>
      </c>
      <c r="F72" s="105">
        <v>0.65</v>
      </c>
      <c r="G72" s="105">
        <v>100</v>
      </c>
      <c r="H72" s="105">
        <v>0</v>
      </c>
      <c r="I72" s="105">
        <v>0</v>
      </c>
      <c r="J72" s="105">
        <v>0</v>
      </c>
      <c r="K72" s="105">
        <v>1</v>
      </c>
      <c r="L72" s="105">
        <v>0</v>
      </c>
      <c r="M72" s="105">
        <v>0.01</v>
      </c>
      <c r="N72" s="105">
        <v>0.33</v>
      </c>
      <c r="O72" s="105">
        <v>0.01</v>
      </c>
      <c r="P72" s="105">
        <v>0.1</v>
      </c>
      <c r="Q72" s="105">
        <v>0</v>
      </c>
      <c r="R72" s="110">
        <f t="shared" si="5"/>
        <v>0</v>
      </c>
      <c r="S72" s="110">
        <v>1</v>
      </c>
      <c r="T72" s="109">
        <v>0</v>
      </c>
      <c r="U72" s="110">
        <v>0.01</v>
      </c>
      <c r="V72" s="110">
        <v>0</v>
      </c>
      <c r="W72" s="110">
        <f t="shared" si="1"/>
        <v>0</v>
      </c>
      <c r="X72" s="110">
        <v>0</v>
      </c>
      <c r="Y72" s="110">
        <v>0</v>
      </c>
      <c r="Z72" s="105"/>
      <c r="AA72" s="105"/>
      <c r="AB72" s="105"/>
    </row>
    <row r="73" spans="1:30" ht="17.25">
      <c r="A73" s="105" t="s">
        <v>321</v>
      </c>
      <c r="B73" s="106" t="s">
        <v>322</v>
      </c>
      <c r="C73" s="105">
        <v>31155</v>
      </c>
      <c r="D73" s="105" t="s">
        <v>259</v>
      </c>
      <c r="E73" s="105">
        <v>100</v>
      </c>
      <c r="F73" s="105">
        <v>0.65</v>
      </c>
      <c r="G73" s="105">
        <v>100</v>
      </c>
      <c r="H73" s="105">
        <v>0</v>
      </c>
      <c r="I73" s="105">
        <v>0</v>
      </c>
      <c r="J73" s="105">
        <v>0</v>
      </c>
      <c r="K73" s="105">
        <v>1</v>
      </c>
      <c r="L73" s="105">
        <v>0.01</v>
      </c>
      <c r="M73" s="105">
        <v>0.1</v>
      </c>
      <c r="N73" s="105">
        <v>0.33</v>
      </c>
      <c r="O73" s="105">
        <v>0.01</v>
      </c>
      <c r="P73" s="105">
        <v>0.1</v>
      </c>
      <c r="Q73" s="105">
        <v>0</v>
      </c>
      <c r="R73" s="110">
        <f t="shared" si="5"/>
        <v>0</v>
      </c>
      <c r="S73" s="110">
        <v>0.33</v>
      </c>
      <c r="T73" s="109">
        <v>0</v>
      </c>
      <c r="U73" s="110">
        <v>0.01</v>
      </c>
      <c r="V73" s="110">
        <v>0.33</v>
      </c>
      <c r="W73" s="110">
        <f t="shared" si="1"/>
        <v>0</v>
      </c>
      <c r="X73" s="110">
        <v>1</v>
      </c>
      <c r="Y73" s="110">
        <v>0.01</v>
      </c>
      <c r="Z73" s="105"/>
      <c r="AA73" s="105"/>
      <c r="AB73" s="105"/>
    </row>
    <row r="74" spans="1:30" ht="17.25">
      <c r="A74" s="105" t="s">
        <v>323</v>
      </c>
      <c r="B74" s="106" t="s">
        <v>324</v>
      </c>
      <c r="C74" s="105">
        <v>31155</v>
      </c>
      <c r="D74" s="105" t="s">
        <v>259</v>
      </c>
      <c r="E74" s="105">
        <v>100</v>
      </c>
      <c r="F74" s="105">
        <v>0.65</v>
      </c>
      <c r="G74" s="105">
        <v>100</v>
      </c>
      <c r="H74" s="105">
        <v>0</v>
      </c>
      <c r="I74" s="105">
        <v>0</v>
      </c>
      <c r="J74" s="105">
        <v>0</v>
      </c>
      <c r="K74" s="105">
        <v>1</v>
      </c>
      <c r="L74" s="105">
        <v>0</v>
      </c>
      <c r="M74" s="105">
        <v>0.01</v>
      </c>
      <c r="N74" s="105">
        <v>2</v>
      </c>
      <c r="O74" s="105">
        <v>0.18</v>
      </c>
      <c r="P74" s="105">
        <v>2</v>
      </c>
      <c r="Q74" s="105">
        <v>0</v>
      </c>
      <c r="R74" s="110">
        <f t="shared" si="5"/>
        <v>0</v>
      </c>
      <c r="S74" s="110">
        <v>1</v>
      </c>
      <c r="T74" s="109">
        <v>0</v>
      </c>
      <c r="U74" s="110">
        <v>0.01</v>
      </c>
      <c r="V74" s="110">
        <v>0</v>
      </c>
      <c r="W74" s="110">
        <f t="shared" si="1"/>
        <v>0</v>
      </c>
      <c r="X74" s="110">
        <f t="shared" ref="X74:Y74" si="6">V74+Q74</f>
        <v>0</v>
      </c>
      <c r="Y74" s="110">
        <f t="shared" si="6"/>
        <v>0</v>
      </c>
      <c r="Z74" s="105"/>
      <c r="AA74" s="105"/>
      <c r="AB74" s="105"/>
    </row>
    <row r="75" spans="1:30" ht="17.25">
      <c r="A75" s="105" t="s">
        <v>325</v>
      </c>
      <c r="B75" s="106" t="s">
        <v>326</v>
      </c>
      <c r="C75" s="105">
        <v>31155</v>
      </c>
      <c r="D75" s="105" t="s">
        <v>259</v>
      </c>
      <c r="E75" s="105">
        <v>100</v>
      </c>
      <c r="F75" s="105">
        <v>1.29</v>
      </c>
      <c r="G75" s="105">
        <v>200</v>
      </c>
      <c r="H75" s="105">
        <v>0</v>
      </c>
      <c r="I75" s="105">
        <v>0</v>
      </c>
      <c r="J75" s="105">
        <v>0</v>
      </c>
      <c r="K75" s="105">
        <v>1</v>
      </c>
      <c r="L75" s="105">
        <v>1.48</v>
      </c>
      <c r="M75" s="105">
        <v>18</v>
      </c>
      <c r="N75" s="105">
        <v>3</v>
      </c>
      <c r="O75" s="105">
        <v>0.54</v>
      </c>
      <c r="P75" s="105">
        <v>6</v>
      </c>
      <c r="Q75" s="105">
        <v>0.3</v>
      </c>
      <c r="R75" s="110">
        <f t="shared" si="5"/>
        <v>5.4000000000000006E-2</v>
      </c>
      <c r="S75" s="110">
        <v>0.33</v>
      </c>
      <c r="T75" s="109">
        <v>0.49</v>
      </c>
      <c r="U75" s="110">
        <v>6</v>
      </c>
      <c r="V75" s="110">
        <v>0.33</v>
      </c>
      <c r="W75" s="110">
        <f t="shared" si="1"/>
        <v>0.49000000000000005</v>
      </c>
      <c r="X75" s="110">
        <v>1</v>
      </c>
      <c r="Y75" s="110">
        <v>1.48</v>
      </c>
      <c r="Z75" s="105"/>
      <c r="AA75" s="105"/>
      <c r="AB75" s="105"/>
      <c r="AD75">
        <f>L75*0.33</f>
        <v>0.4884</v>
      </c>
    </row>
    <row r="76" spans="1:30" ht="17.25">
      <c r="A76" s="105" t="s">
        <v>327</v>
      </c>
      <c r="B76" s="106" t="s">
        <v>328</v>
      </c>
      <c r="C76" s="105">
        <v>31155</v>
      </c>
      <c r="D76" s="105" t="s">
        <v>259</v>
      </c>
      <c r="E76" s="105">
        <v>100</v>
      </c>
      <c r="F76" s="105">
        <v>0.65</v>
      </c>
      <c r="G76" s="105">
        <v>100</v>
      </c>
      <c r="H76" s="105">
        <v>0</v>
      </c>
      <c r="I76" s="105">
        <v>0</v>
      </c>
      <c r="J76" s="105">
        <v>0</v>
      </c>
      <c r="K76" s="105">
        <v>1</v>
      </c>
      <c r="L76" s="105">
        <v>0</v>
      </c>
      <c r="M76" s="105">
        <v>0.01</v>
      </c>
      <c r="N76" s="105">
        <v>0.33</v>
      </c>
      <c r="O76" s="105">
        <v>0.01</v>
      </c>
      <c r="P76" s="105">
        <v>0.1</v>
      </c>
      <c r="Q76" s="105">
        <v>0</v>
      </c>
      <c r="R76" s="110">
        <f t="shared" si="5"/>
        <v>0</v>
      </c>
      <c r="S76" s="110">
        <v>1</v>
      </c>
      <c r="T76" s="109">
        <v>0</v>
      </c>
      <c r="U76" s="110">
        <v>0.01</v>
      </c>
      <c r="V76" s="110">
        <v>0</v>
      </c>
      <c r="W76" s="110">
        <f t="shared" si="1"/>
        <v>0</v>
      </c>
      <c r="X76" s="110">
        <f t="shared" si="0"/>
        <v>0</v>
      </c>
      <c r="Y76" s="110">
        <f t="shared" si="0"/>
        <v>0</v>
      </c>
      <c r="Z76" s="105"/>
      <c r="AA76" s="105"/>
      <c r="AB76" s="105"/>
    </row>
    <row r="77" spans="1:30" ht="17.25">
      <c r="A77" s="105" t="s">
        <v>329</v>
      </c>
      <c r="B77" s="106" t="s">
        <v>330</v>
      </c>
      <c r="C77" s="105">
        <v>31155</v>
      </c>
      <c r="D77" s="105" t="s">
        <v>259</v>
      </c>
      <c r="E77" s="105">
        <v>100</v>
      </c>
      <c r="F77" s="105">
        <v>0.65</v>
      </c>
      <c r="G77" s="105">
        <v>100</v>
      </c>
      <c r="H77" s="105">
        <v>0</v>
      </c>
      <c r="I77" s="105">
        <v>0</v>
      </c>
      <c r="J77" s="105">
        <v>0</v>
      </c>
      <c r="K77" s="105">
        <v>1</v>
      </c>
      <c r="L77" s="105">
        <v>0</v>
      </c>
      <c r="M77" s="105">
        <v>0.01</v>
      </c>
      <c r="N77" s="105">
        <v>0.33</v>
      </c>
      <c r="O77" s="105">
        <v>0.01</v>
      </c>
      <c r="P77" s="105">
        <v>0.1</v>
      </c>
      <c r="Q77" s="105">
        <v>0</v>
      </c>
      <c r="R77" s="110">
        <f t="shared" si="5"/>
        <v>0</v>
      </c>
      <c r="S77" s="110">
        <v>1</v>
      </c>
      <c r="T77" s="109">
        <v>0</v>
      </c>
      <c r="U77" s="110">
        <v>0.01</v>
      </c>
      <c r="V77" s="110">
        <v>0</v>
      </c>
      <c r="W77" s="110">
        <f t="shared" si="1"/>
        <v>0</v>
      </c>
      <c r="X77" s="110">
        <f t="shared" si="0"/>
        <v>0</v>
      </c>
      <c r="Y77" s="110">
        <f t="shared" si="0"/>
        <v>0</v>
      </c>
      <c r="Z77" s="105"/>
      <c r="AA77" s="105"/>
      <c r="AB77" s="105"/>
    </row>
    <row r="78" spans="1:30" ht="17.25">
      <c r="A78" s="105" t="s">
        <v>331</v>
      </c>
      <c r="B78" s="106" t="s">
        <v>332</v>
      </c>
      <c r="C78" s="105">
        <v>31155</v>
      </c>
      <c r="D78" s="105" t="s">
        <v>259</v>
      </c>
      <c r="E78" s="105">
        <v>100</v>
      </c>
      <c r="F78" s="105">
        <v>0.65</v>
      </c>
      <c r="G78" s="105">
        <v>100</v>
      </c>
      <c r="H78" s="105">
        <v>0</v>
      </c>
      <c r="I78" s="105">
        <v>0</v>
      </c>
      <c r="J78" s="105">
        <v>0</v>
      </c>
      <c r="K78" s="105">
        <v>1</v>
      </c>
      <c r="L78" s="105">
        <v>0</v>
      </c>
      <c r="M78" s="105">
        <v>0.01</v>
      </c>
      <c r="N78" s="105">
        <v>0.33</v>
      </c>
      <c r="O78" s="105">
        <v>0.01</v>
      </c>
      <c r="P78" s="105">
        <v>0.1</v>
      </c>
      <c r="Q78" s="105">
        <v>0</v>
      </c>
      <c r="R78" s="110">
        <f t="shared" si="5"/>
        <v>0</v>
      </c>
      <c r="S78" s="110">
        <v>1</v>
      </c>
      <c r="T78" s="109">
        <v>0</v>
      </c>
      <c r="U78" s="110">
        <v>0.01</v>
      </c>
      <c r="V78" s="110">
        <v>0</v>
      </c>
      <c r="W78" s="110">
        <f t="shared" si="1"/>
        <v>0</v>
      </c>
      <c r="X78" s="110">
        <f t="shared" si="0"/>
        <v>0</v>
      </c>
      <c r="Y78" s="110">
        <f t="shared" si="0"/>
        <v>0</v>
      </c>
      <c r="Z78" s="105"/>
      <c r="AA78" s="105"/>
      <c r="AB78" s="105"/>
    </row>
    <row r="79" spans="1:30" ht="17.25">
      <c r="A79" s="105" t="s">
        <v>333</v>
      </c>
      <c r="B79" s="106" t="s">
        <v>334</v>
      </c>
      <c r="C79" s="105">
        <v>31155</v>
      </c>
      <c r="D79" s="105" t="s">
        <v>259</v>
      </c>
      <c r="E79" s="105">
        <v>100</v>
      </c>
      <c r="F79" s="105">
        <v>0.65</v>
      </c>
      <c r="G79" s="105">
        <v>100</v>
      </c>
      <c r="H79" s="105">
        <v>0</v>
      </c>
      <c r="I79" s="105">
        <v>0</v>
      </c>
      <c r="J79" s="105">
        <v>0</v>
      </c>
      <c r="K79" s="105">
        <v>1</v>
      </c>
      <c r="L79" s="105">
        <v>0</v>
      </c>
      <c r="M79" s="105">
        <v>0.01</v>
      </c>
      <c r="N79" s="105">
        <v>0.33</v>
      </c>
      <c r="O79" s="105">
        <v>0.01</v>
      </c>
      <c r="P79" s="105">
        <v>0.1</v>
      </c>
      <c r="Q79" s="105">
        <v>0</v>
      </c>
      <c r="R79" s="110">
        <f t="shared" si="5"/>
        <v>0</v>
      </c>
      <c r="S79" s="110">
        <v>1</v>
      </c>
      <c r="T79" s="109">
        <v>0</v>
      </c>
      <c r="U79" s="110">
        <v>0.01</v>
      </c>
      <c r="V79" s="110">
        <v>0</v>
      </c>
      <c r="W79" s="110">
        <f t="shared" si="1"/>
        <v>0</v>
      </c>
      <c r="X79" s="110">
        <f t="shared" si="0"/>
        <v>0</v>
      </c>
      <c r="Y79" s="110">
        <f t="shared" si="0"/>
        <v>0</v>
      </c>
      <c r="Z79" s="105"/>
      <c r="AA79" s="105"/>
      <c r="AB79" s="105"/>
    </row>
    <row r="80" spans="1:30" ht="17.25">
      <c r="A80" s="105" t="s">
        <v>335</v>
      </c>
      <c r="B80" s="106" t="s">
        <v>336</v>
      </c>
      <c r="C80" s="105">
        <v>31155</v>
      </c>
      <c r="D80" s="105" t="s">
        <v>259</v>
      </c>
      <c r="E80" s="105">
        <v>100</v>
      </c>
      <c r="F80" s="105">
        <v>0.65</v>
      </c>
      <c r="G80" s="105">
        <v>100</v>
      </c>
      <c r="H80" s="105">
        <v>0</v>
      </c>
      <c r="I80" s="105">
        <v>0</v>
      </c>
      <c r="J80" s="105">
        <v>0</v>
      </c>
      <c r="K80" s="105">
        <v>1</v>
      </c>
      <c r="L80" s="105">
        <v>0</v>
      </c>
      <c r="M80" s="105">
        <v>0.01</v>
      </c>
      <c r="N80" s="105">
        <v>0.33</v>
      </c>
      <c r="O80" s="105">
        <v>0.01</v>
      </c>
      <c r="P80" s="105">
        <v>0.1</v>
      </c>
      <c r="Q80" s="105">
        <v>0</v>
      </c>
      <c r="R80" s="110">
        <f t="shared" si="5"/>
        <v>0</v>
      </c>
      <c r="S80" s="110">
        <v>1</v>
      </c>
      <c r="T80" s="109">
        <v>0</v>
      </c>
      <c r="U80" s="110">
        <v>0.01</v>
      </c>
      <c r="V80" s="110">
        <v>0</v>
      </c>
      <c r="W80" s="110">
        <f t="shared" si="1"/>
        <v>0</v>
      </c>
      <c r="X80" s="110">
        <f t="shared" si="0"/>
        <v>0</v>
      </c>
      <c r="Y80" s="110">
        <f t="shared" si="0"/>
        <v>0</v>
      </c>
      <c r="Z80" s="105"/>
      <c r="AA80" s="105"/>
      <c r="AB80" s="105"/>
    </row>
    <row r="81" spans="1:28" ht="28.5">
      <c r="A81" s="105" t="s">
        <v>337</v>
      </c>
      <c r="B81" s="106" t="s">
        <v>338</v>
      </c>
      <c r="C81" s="105">
        <v>31155</v>
      </c>
      <c r="D81" s="105" t="s">
        <v>259</v>
      </c>
      <c r="E81" s="105">
        <v>100</v>
      </c>
      <c r="F81" s="105">
        <v>0.65</v>
      </c>
      <c r="G81" s="105">
        <v>100</v>
      </c>
      <c r="H81" s="105">
        <v>0</v>
      </c>
      <c r="I81" s="105">
        <v>0</v>
      </c>
      <c r="J81" s="105">
        <v>0</v>
      </c>
      <c r="K81" s="105">
        <v>1</v>
      </c>
      <c r="L81" s="105">
        <v>0</v>
      </c>
      <c r="M81" s="105">
        <v>0.01</v>
      </c>
      <c r="N81" s="105">
        <v>0.33</v>
      </c>
      <c r="O81" s="105">
        <v>0.01</v>
      </c>
      <c r="P81" s="105">
        <v>0.1</v>
      </c>
      <c r="Q81" s="105">
        <v>0</v>
      </c>
      <c r="R81" s="110">
        <f t="shared" si="5"/>
        <v>0</v>
      </c>
      <c r="S81" s="110">
        <v>1</v>
      </c>
      <c r="T81" s="109">
        <v>0</v>
      </c>
      <c r="U81" s="110">
        <v>0.01</v>
      </c>
      <c r="V81" s="110">
        <v>0</v>
      </c>
      <c r="W81" s="110">
        <f t="shared" si="1"/>
        <v>0</v>
      </c>
      <c r="X81" s="110">
        <f t="shared" si="0"/>
        <v>0</v>
      </c>
      <c r="Y81" s="110">
        <f t="shared" si="0"/>
        <v>0</v>
      </c>
      <c r="Z81" s="105"/>
      <c r="AA81" s="105"/>
      <c r="AB81" s="105"/>
    </row>
    <row r="82" spans="1:28" ht="17.25">
      <c r="A82" s="105" t="s">
        <v>339</v>
      </c>
      <c r="B82" s="106" t="s">
        <v>340</v>
      </c>
      <c r="C82" s="105">
        <v>31155</v>
      </c>
      <c r="D82" s="105" t="s">
        <v>259</v>
      </c>
      <c r="E82" s="105">
        <v>100</v>
      </c>
      <c r="F82" s="105">
        <v>0.65</v>
      </c>
      <c r="G82" s="105">
        <v>100</v>
      </c>
      <c r="H82" s="105">
        <v>0</v>
      </c>
      <c r="I82" s="105">
        <v>0</v>
      </c>
      <c r="J82" s="105">
        <v>0</v>
      </c>
      <c r="K82" s="105">
        <v>1</v>
      </c>
      <c r="L82" s="105">
        <v>0</v>
      </c>
      <c r="M82" s="105">
        <v>0.01</v>
      </c>
      <c r="N82" s="105">
        <v>0.33</v>
      </c>
      <c r="O82" s="105">
        <v>0</v>
      </c>
      <c r="P82" s="105">
        <v>0</v>
      </c>
      <c r="Q82" s="105">
        <v>0</v>
      </c>
      <c r="R82" s="110">
        <f t="shared" si="5"/>
        <v>0</v>
      </c>
      <c r="S82" s="110">
        <v>1</v>
      </c>
      <c r="T82" s="109">
        <v>0.01</v>
      </c>
      <c r="U82" s="110">
        <v>0.01</v>
      </c>
      <c r="V82" s="110">
        <v>0</v>
      </c>
      <c r="W82" s="110">
        <f t="shared" si="1"/>
        <v>0</v>
      </c>
      <c r="X82" s="110">
        <f t="shared" si="0"/>
        <v>0</v>
      </c>
      <c r="Y82" s="110">
        <f t="shared" si="0"/>
        <v>0</v>
      </c>
      <c r="Z82" s="105"/>
      <c r="AA82" s="105"/>
      <c r="AB82" s="105"/>
    </row>
    <row r="83" spans="1:28" ht="17.25">
      <c r="A83" s="105" t="s">
        <v>341</v>
      </c>
      <c r="B83" s="106" t="s">
        <v>342</v>
      </c>
      <c r="C83" s="105">
        <v>31155</v>
      </c>
      <c r="D83" s="105" t="s">
        <v>259</v>
      </c>
      <c r="E83" s="105">
        <v>100</v>
      </c>
      <c r="F83" s="105">
        <v>1.84</v>
      </c>
      <c r="G83" s="105">
        <v>285</v>
      </c>
      <c r="H83" s="105">
        <v>98</v>
      </c>
      <c r="I83" s="105">
        <v>57.36</v>
      </c>
      <c r="J83" s="105">
        <v>2200</v>
      </c>
      <c r="K83" s="105">
        <v>1</v>
      </c>
      <c r="L83" s="105">
        <v>0</v>
      </c>
      <c r="M83" s="105">
        <v>0.01</v>
      </c>
      <c r="N83" s="105">
        <v>2</v>
      </c>
      <c r="O83" s="105">
        <v>0.01</v>
      </c>
      <c r="P83" s="105">
        <v>0.1</v>
      </c>
      <c r="Q83" s="105">
        <v>0</v>
      </c>
      <c r="R83" s="110">
        <f t="shared" si="5"/>
        <v>0</v>
      </c>
      <c r="S83" s="110">
        <v>1</v>
      </c>
      <c r="T83" s="109">
        <v>0</v>
      </c>
      <c r="U83" s="110">
        <v>0.01</v>
      </c>
      <c r="V83" s="110">
        <v>0</v>
      </c>
      <c r="W83" s="110">
        <v>0</v>
      </c>
      <c r="X83" s="110">
        <f t="shared" si="0"/>
        <v>0</v>
      </c>
      <c r="Y83" s="110">
        <f t="shared" si="0"/>
        <v>0</v>
      </c>
      <c r="Z83" s="105"/>
      <c r="AA83" s="105"/>
      <c r="AB83" s="105"/>
    </row>
    <row r="84" spans="1:28" ht="17.25">
      <c r="A84" s="105" t="s">
        <v>343</v>
      </c>
      <c r="B84" s="106" t="s">
        <v>344</v>
      </c>
      <c r="C84" s="105">
        <v>31155</v>
      </c>
      <c r="D84" s="105" t="s">
        <v>259</v>
      </c>
      <c r="E84" s="105">
        <v>100</v>
      </c>
      <c r="F84" s="105">
        <v>0.65</v>
      </c>
      <c r="G84" s="105">
        <v>100</v>
      </c>
      <c r="H84" s="105">
        <v>0</v>
      </c>
      <c r="I84" s="105">
        <v>0</v>
      </c>
      <c r="J84" s="105">
        <v>0</v>
      </c>
      <c r="K84" s="105">
        <v>1</v>
      </c>
      <c r="L84" s="105">
        <v>0</v>
      </c>
      <c r="M84" s="105">
        <v>0.01</v>
      </c>
      <c r="N84" s="105">
        <v>0.33</v>
      </c>
      <c r="O84" s="105">
        <v>0.01</v>
      </c>
      <c r="P84" s="105">
        <v>0.1</v>
      </c>
      <c r="Q84" s="105">
        <v>0</v>
      </c>
      <c r="R84" s="110">
        <f t="shared" si="5"/>
        <v>0</v>
      </c>
      <c r="S84" s="110">
        <v>1</v>
      </c>
      <c r="T84" s="109">
        <v>0</v>
      </c>
      <c r="U84" s="110">
        <v>0.01</v>
      </c>
      <c r="V84" s="110">
        <v>0</v>
      </c>
      <c r="W84" s="110">
        <f t="shared" si="1"/>
        <v>0</v>
      </c>
      <c r="X84" s="110">
        <f t="shared" si="0"/>
        <v>0</v>
      </c>
      <c r="Y84" s="110">
        <f t="shared" si="0"/>
        <v>0</v>
      </c>
      <c r="Z84" s="105"/>
      <c r="AA84" s="105"/>
      <c r="AB84" s="105"/>
    </row>
    <row r="85" spans="1:28" ht="17.25">
      <c r="A85" s="105" t="s">
        <v>345</v>
      </c>
      <c r="B85" s="106" t="s">
        <v>346</v>
      </c>
      <c r="C85" s="105">
        <v>31155</v>
      </c>
      <c r="D85" s="105" t="s">
        <v>259</v>
      </c>
      <c r="E85" s="105">
        <v>100</v>
      </c>
      <c r="F85" s="105">
        <v>0.65</v>
      </c>
      <c r="G85" s="105">
        <v>100</v>
      </c>
      <c r="H85" s="105">
        <v>0</v>
      </c>
      <c r="I85" s="105">
        <v>0</v>
      </c>
      <c r="J85" s="105">
        <v>0</v>
      </c>
      <c r="K85" s="105">
        <v>1</v>
      </c>
      <c r="L85" s="105">
        <v>0</v>
      </c>
      <c r="M85" s="105">
        <v>0.01</v>
      </c>
      <c r="N85" s="105">
        <v>0.33</v>
      </c>
      <c r="O85" s="105">
        <v>0.01</v>
      </c>
      <c r="P85" s="105">
        <v>0.1</v>
      </c>
      <c r="Q85" s="105">
        <v>0</v>
      </c>
      <c r="R85" s="110">
        <f t="shared" si="5"/>
        <v>0</v>
      </c>
      <c r="S85" s="110">
        <v>1</v>
      </c>
      <c r="T85" s="109">
        <v>0</v>
      </c>
      <c r="U85" s="110">
        <v>0.01</v>
      </c>
      <c r="V85" s="110">
        <v>0</v>
      </c>
      <c r="W85" s="110">
        <f t="shared" si="1"/>
        <v>0</v>
      </c>
      <c r="X85" s="110">
        <f t="shared" si="0"/>
        <v>0</v>
      </c>
      <c r="Y85" s="110">
        <f t="shared" si="0"/>
        <v>0</v>
      </c>
      <c r="Z85" s="105"/>
      <c r="AA85" s="105"/>
      <c r="AB85" s="105"/>
    </row>
    <row r="86" spans="1:28" ht="17.25">
      <c r="A86" s="105" t="s">
        <v>347</v>
      </c>
      <c r="B86" s="106" t="s">
        <v>348</v>
      </c>
      <c r="C86" s="105">
        <v>31155</v>
      </c>
      <c r="D86" s="105" t="s">
        <v>259</v>
      </c>
      <c r="E86" s="105">
        <v>100</v>
      </c>
      <c r="F86" s="105">
        <v>0.65</v>
      </c>
      <c r="G86" s="105">
        <v>100</v>
      </c>
      <c r="H86" s="105">
        <v>0</v>
      </c>
      <c r="I86" s="105">
        <v>0</v>
      </c>
      <c r="J86" s="105">
        <v>0</v>
      </c>
      <c r="K86" s="105">
        <v>1</v>
      </c>
      <c r="L86" s="105">
        <v>0</v>
      </c>
      <c r="M86" s="105">
        <v>0.01</v>
      </c>
      <c r="N86" s="105">
        <v>0.33</v>
      </c>
      <c r="O86" s="105">
        <v>0.01</v>
      </c>
      <c r="P86" s="105">
        <v>0.1</v>
      </c>
      <c r="Q86" s="105">
        <v>0</v>
      </c>
      <c r="R86" s="110">
        <f t="shared" si="5"/>
        <v>0</v>
      </c>
      <c r="S86" s="110">
        <v>1</v>
      </c>
      <c r="T86" s="109">
        <v>0</v>
      </c>
      <c r="U86" s="110">
        <v>0.01</v>
      </c>
      <c r="V86" s="110">
        <v>0</v>
      </c>
      <c r="W86" s="110">
        <f t="shared" si="1"/>
        <v>0</v>
      </c>
      <c r="X86" s="110">
        <f t="shared" si="0"/>
        <v>0</v>
      </c>
      <c r="Y86" s="110">
        <f t="shared" si="0"/>
        <v>0</v>
      </c>
      <c r="Z86" s="105"/>
      <c r="AA86" s="105"/>
      <c r="AB86" s="105"/>
    </row>
    <row r="87" spans="1:28" ht="17.25">
      <c r="A87" s="105" t="s">
        <v>349</v>
      </c>
      <c r="B87" s="106" t="s">
        <v>350</v>
      </c>
      <c r="C87" s="105">
        <v>31155</v>
      </c>
      <c r="D87" s="105" t="s">
        <v>259</v>
      </c>
      <c r="E87" s="105">
        <v>100</v>
      </c>
      <c r="F87" s="105">
        <v>0.65</v>
      </c>
      <c r="G87" s="105">
        <v>100</v>
      </c>
      <c r="H87" s="105">
        <v>0</v>
      </c>
      <c r="I87" s="105">
        <v>0</v>
      </c>
      <c r="J87" s="105">
        <v>0</v>
      </c>
      <c r="K87" s="105">
        <v>1</v>
      </c>
      <c r="L87" s="105">
        <v>0</v>
      </c>
      <c r="M87" s="105">
        <v>0.01</v>
      </c>
      <c r="N87" s="105">
        <v>0.33</v>
      </c>
      <c r="O87" s="105">
        <v>0.01</v>
      </c>
      <c r="P87" s="105">
        <v>0.1</v>
      </c>
      <c r="Q87" s="105">
        <v>0</v>
      </c>
      <c r="R87" s="110">
        <f t="shared" si="5"/>
        <v>0</v>
      </c>
      <c r="S87" s="110">
        <v>1</v>
      </c>
      <c r="T87" s="109">
        <v>0</v>
      </c>
      <c r="U87" s="110">
        <v>0.01</v>
      </c>
      <c r="V87" s="110">
        <v>0</v>
      </c>
      <c r="W87" s="110">
        <f t="shared" ref="W87:W144" si="7">T87/S87*V87</f>
        <v>0</v>
      </c>
      <c r="X87" s="110">
        <f t="shared" ref="X87:Y144" si="8">V87+Q87</f>
        <v>0</v>
      </c>
      <c r="Y87" s="110">
        <f t="shared" si="8"/>
        <v>0</v>
      </c>
      <c r="Z87" s="105"/>
      <c r="AA87" s="105"/>
      <c r="AB87" s="105"/>
    </row>
    <row r="88" spans="1:28" ht="28.5">
      <c r="A88" s="105" t="s">
        <v>351</v>
      </c>
      <c r="B88" s="106" t="s">
        <v>352</v>
      </c>
      <c r="C88" s="105">
        <v>31155</v>
      </c>
      <c r="D88" s="105" t="s">
        <v>259</v>
      </c>
      <c r="E88" s="105">
        <v>100</v>
      </c>
      <c r="F88" s="105">
        <v>0.65</v>
      </c>
      <c r="G88" s="105">
        <v>100</v>
      </c>
      <c r="H88" s="105">
        <v>0</v>
      </c>
      <c r="I88" s="105">
        <v>0</v>
      </c>
      <c r="J88" s="105">
        <v>0</v>
      </c>
      <c r="K88" s="105">
        <v>1</v>
      </c>
      <c r="L88" s="105">
        <v>0</v>
      </c>
      <c r="M88" s="105">
        <v>0.01</v>
      </c>
      <c r="N88" s="105">
        <v>0.33</v>
      </c>
      <c r="O88" s="105">
        <v>0.01</v>
      </c>
      <c r="P88" s="105">
        <v>0.1</v>
      </c>
      <c r="Q88" s="105">
        <v>0</v>
      </c>
      <c r="R88" s="110">
        <f t="shared" si="5"/>
        <v>0</v>
      </c>
      <c r="S88" s="110">
        <v>1</v>
      </c>
      <c r="T88" s="109">
        <v>0</v>
      </c>
      <c r="U88" s="110">
        <v>0.01</v>
      </c>
      <c r="V88" s="110">
        <v>0</v>
      </c>
      <c r="W88" s="110">
        <f t="shared" si="7"/>
        <v>0</v>
      </c>
      <c r="X88" s="110">
        <f t="shared" si="8"/>
        <v>0</v>
      </c>
      <c r="Y88" s="110">
        <f t="shared" si="8"/>
        <v>0</v>
      </c>
      <c r="Z88" s="105"/>
      <c r="AA88" s="105"/>
      <c r="AB88" s="105"/>
    </row>
    <row r="89" spans="1:28" ht="28.5">
      <c r="A89" s="105" t="s">
        <v>353</v>
      </c>
      <c r="B89" s="106" t="s">
        <v>354</v>
      </c>
      <c r="C89" s="105">
        <v>31155</v>
      </c>
      <c r="D89" s="105" t="s">
        <v>259</v>
      </c>
      <c r="E89" s="105">
        <v>100</v>
      </c>
      <c r="F89" s="105">
        <v>0.65</v>
      </c>
      <c r="G89" s="105">
        <v>100</v>
      </c>
      <c r="H89" s="105">
        <v>0</v>
      </c>
      <c r="I89" s="105">
        <v>0</v>
      </c>
      <c r="J89" s="105">
        <v>0</v>
      </c>
      <c r="K89" s="105">
        <v>1</v>
      </c>
      <c r="L89" s="105">
        <v>0</v>
      </c>
      <c r="M89" s="105">
        <v>0.01</v>
      </c>
      <c r="N89" s="105">
        <v>0.33</v>
      </c>
      <c r="O89" s="105">
        <v>0.01</v>
      </c>
      <c r="P89" s="105">
        <v>0.1</v>
      </c>
      <c r="Q89" s="105">
        <v>0</v>
      </c>
      <c r="R89" s="110">
        <f t="shared" si="5"/>
        <v>0</v>
      </c>
      <c r="S89" s="110">
        <v>1</v>
      </c>
      <c r="T89" s="109">
        <v>0</v>
      </c>
      <c r="U89" s="110">
        <v>0.01</v>
      </c>
      <c r="V89" s="110">
        <v>0</v>
      </c>
      <c r="W89" s="110">
        <f t="shared" si="7"/>
        <v>0</v>
      </c>
      <c r="X89" s="110">
        <f t="shared" si="8"/>
        <v>0</v>
      </c>
      <c r="Y89" s="110">
        <f t="shared" si="8"/>
        <v>0</v>
      </c>
      <c r="Z89" s="105"/>
      <c r="AA89" s="105"/>
      <c r="AB89" s="105"/>
    </row>
    <row r="90" spans="1:28" ht="28.5">
      <c r="A90" s="105" t="s">
        <v>355</v>
      </c>
      <c r="B90" s="106" t="s">
        <v>356</v>
      </c>
      <c r="C90" s="105">
        <v>31155</v>
      </c>
      <c r="D90" s="105" t="s">
        <v>259</v>
      </c>
      <c r="E90" s="105">
        <v>100</v>
      </c>
      <c r="F90" s="105">
        <v>0.65</v>
      </c>
      <c r="G90" s="105">
        <v>100</v>
      </c>
      <c r="H90" s="105">
        <v>0</v>
      </c>
      <c r="I90" s="105">
        <v>0</v>
      </c>
      <c r="J90" s="105">
        <v>0</v>
      </c>
      <c r="K90" s="105">
        <v>1</v>
      </c>
      <c r="L90" s="105">
        <v>0</v>
      </c>
      <c r="M90" s="105">
        <v>0.01</v>
      </c>
      <c r="N90" s="105">
        <v>0.33</v>
      </c>
      <c r="O90" s="105">
        <v>0.01</v>
      </c>
      <c r="P90" s="105">
        <v>0.1</v>
      </c>
      <c r="Q90" s="105">
        <v>0</v>
      </c>
      <c r="R90" s="110">
        <f t="shared" si="5"/>
        <v>0</v>
      </c>
      <c r="S90" s="110">
        <v>1</v>
      </c>
      <c r="T90" s="109">
        <v>0</v>
      </c>
      <c r="U90" s="110">
        <v>0.01</v>
      </c>
      <c r="V90" s="110">
        <v>0</v>
      </c>
      <c r="W90" s="110">
        <f t="shared" si="7"/>
        <v>0</v>
      </c>
      <c r="X90" s="110">
        <f t="shared" si="8"/>
        <v>0</v>
      </c>
      <c r="Y90" s="110">
        <f t="shared" si="8"/>
        <v>0</v>
      </c>
      <c r="Z90" s="105"/>
      <c r="AA90" s="105"/>
      <c r="AB90" s="105"/>
    </row>
    <row r="91" spans="1:28" ht="28.5">
      <c r="A91" s="105" t="s">
        <v>357</v>
      </c>
      <c r="B91" s="106" t="s">
        <v>358</v>
      </c>
      <c r="C91" s="105">
        <v>31155</v>
      </c>
      <c r="D91" s="105" t="s">
        <v>259</v>
      </c>
      <c r="E91" s="105">
        <v>100</v>
      </c>
      <c r="F91" s="105">
        <v>0.65</v>
      </c>
      <c r="G91" s="105">
        <v>100</v>
      </c>
      <c r="H91" s="105">
        <v>0</v>
      </c>
      <c r="I91" s="105">
        <v>0</v>
      </c>
      <c r="J91" s="105">
        <v>0</v>
      </c>
      <c r="K91" s="105">
        <v>1</v>
      </c>
      <c r="L91" s="105">
        <v>0</v>
      </c>
      <c r="M91" s="105">
        <v>0.01</v>
      </c>
      <c r="N91" s="105">
        <v>0.33</v>
      </c>
      <c r="O91" s="105">
        <v>0.01</v>
      </c>
      <c r="P91" s="105">
        <v>0.1</v>
      </c>
      <c r="Q91" s="105">
        <v>0</v>
      </c>
      <c r="R91" s="110">
        <f t="shared" si="5"/>
        <v>0</v>
      </c>
      <c r="S91" s="110">
        <v>1</v>
      </c>
      <c r="T91" s="109">
        <v>0</v>
      </c>
      <c r="U91" s="110">
        <v>0.01</v>
      </c>
      <c r="V91" s="110">
        <v>0</v>
      </c>
      <c r="W91" s="110">
        <f t="shared" si="7"/>
        <v>0</v>
      </c>
      <c r="X91" s="110">
        <f t="shared" si="8"/>
        <v>0</v>
      </c>
      <c r="Y91" s="110">
        <f t="shared" si="8"/>
        <v>0</v>
      </c>
      <c r="Z91" s="105"/>
      <c r="AA91" s="105"/>
      <c r="AB91" s="105"/>
    </row>
    <row r="92" spans="1:28" ht="17.25">
      <c r="A92" s="105" t="s">
        <v>359</v>
      </c>
      <c r="B92" s="106" t="s">
        <v>360</v>
      </c>
      <c r="C92" s="105">
        <v>31155</v>
      </c>
      <c r="D92" s="105" t="s">
        <v>259</v>
      </c>
      <c r="E92" s="105">
        <v>100</v>
      </c>
      <c r="F92" s="105">
        <v>0.65</v>
      </c>
      <c r="G92" s="105">
        <v>100</v>
      </c>
      <c r="H92" s="105">
        <v>0</v>
      </c>
      <c r="I92" s="105">
        <v>0</v>
      </c>
      <c r="J92" s="105">
        <v>0</v>
      </c>
      <c r="K92" s="105">
        <v>1</v>
      </c>
      <c r="L92" s="105">
        <v>0</v>
      </c>
      <c r="M92" s="105">
        <v>0.01</v>
      </c>
      <c r="N92" s="105">
        <v>0.33</v>
      </c>
      <c r="O92" s="105">
        <v>0.01</v>
      </c>
      <c r="P92" s="105">
        <v>0.1</v>
      </c>
      <c r="Q92" s="105">
        <v>0</v>
      </c>
      <c r="R92" s="110">
        <f t="shared" si="5"/>
        <v>0</v>
      </c>
      <c r="S92" s="110">
        <v>1</v>
      </c>
      <c r="T92" s="109">
        <v>0</v>
      </c>
      <c r="U92" s="110">
        <v>0.01</v>
      </c>
      <c r="V92" s="110">
        <v>0</v>
      </c>
      <c r="W92" s="110">
        <f t="shared" si="7"/>
        <v>0</v>
      </c>
      <c r="X92" s="110">
        <f t="shared" si="8"/>
        <v>0</v>
      </c>
      <c r="Y92" s="110">
        <f t="shared" si="8"/>
        <v>0</v>
      </c>
      <c r="Z92" s="105"/>
      <c r="AA92" s="105"/>
      <c r="AB92" s="105"/>
    </row>
    <row r="93" spans="1:28" ht="28.5">
      <c r="A93" s="105" t="s">
        <v>361</v>
      </c>
      <c r="B93" s="106" t="s">
        <v>362</v>
      </c>
      <c r="C93" s="105">
        <v>31155</v>
      </c>
      <c r="D93" s="105" t="s">
        <v>259</v>
      </c>
      <c r="E93" s="105">
        <v>100</v>
      </c>
      <c r="F93" s="105">
        <v>0.65</v>
      </c>
      <c r="G93" s="105">
        <v>100</v>
      </c>
      <c r="H93" s="105">
        <v>0</v>
      </c>
      <c r="I93" s="105">
        <v>0</v>
      </c>
      <c r="J93" s="105">
        <v>0</v>
      </c>
      <c r="K93" s="105">
        <v>1</v>
      </c>
      <c r="L93" s="105">
        <v>0</v>
      </c>
      <c r="M93" s="105">
        <v>0.01</v>
      </c>
      <c r="N93" s="105">
        <v>0.33</v>
      </c>
      <c r="O93" s="105">
        <v>0.01</v>
      </c>
      <c r="P93" s="105">
        <v>0.1</v>
      </c>
      <c r="Q93" s="105">
        <v>0</v>
      </c>
      <c r="R93" s="110">
        <f t="shared" si="5"/>
        <v>0</v>
      </c>
      <c r="S93" s="110">
        <v>1</v>
      </c>
      <c r="T93" s="109">
        <v>0</v>
      </c>
      <c r="U93" s="110">
        <v>0.01</v>
      </c>
      <c r="V93" s="110">
        <v>0</v>
      </c>
      <c r="W93" s="110">
        <f t="shared" si="7"/>
        <v>0</v>
      </c>
      <c r="X93" s="110">
        <f t="shared" si="8"/>
        <v>0</v>
      </c>
      <c r="Y93" s="110">
        <f t="shared" si="8"/>
        <v>0</v>
      </c>
      <c r="Z93" s="105"/>
      <c r="AA93" s="105"/>
      <c r="AB93" s="105"/>
    </row>
    <row r="94" spans="1:28" ht="17.25">
      <c r="A94" s="105" t="s">
        <v>363</v>
      </c>
      <c r="B94" s="106" t="s">
        <v>364</v>
      </c>
      <c r="C94" s="105">
        <v>31155</v>
      </c>
      <c r="D94" s="105" t="s">
        <v>259</v>
      </c>
      <c r="E94" s="105">
        <v>100</v>
      </c>
      <c r="F94" s="105">
        <v>0.65</v>
      </c>
      <c r="G94" s="105">
        <v>100</v>
      </c>
      <c r="H94" s="105">
        <v>0</v>
      </c>
      <c r="I94" s="105">
        <v>0</v>
      </c>
      <c r="J94" s="105">
        <v>0</v>
      </c>
      <c r="K94" s="105">
        <v>1</v>
      </c>
      <c r="L94" s="105">
        <v>0.41</v>
      </c>
      <c r="M94" s="105">
        <v>5</v>
      </c>
      <c r="N94" s="105">
        <v>0.33</v>
      </c>
      <c r="O94" s="105">
        <v>0.01</v>
      </c>
      <c r="P94" s="105">
        <v>0.1</v>
      </c>
      <c r="Q94" s="105">
        <v>0</v>
      </c>
      <c r="R94" s="110">
        <f t="shared" si="5"/>
        <v>0</v>
      </c>
      <c r="S94" s="110">
        <v>1</v>
      </c>
      <c r="T94" s="109">
        <v>0.41</v>
      </c>
      <c r="U94" s="110">
        <v>5</v>
      </c>
      <c r="V94" s="110">
        <v>1</v>
      </c>
      <c r="W94" s="110">
        <f t="shared" si="7"/>
        <v>0.41</v>
      </c>
      <c r="X94" s="110">
        <f t="shared" si="8"/>
        <v>1</v>
      </c>
      <c r="Y94" s="110">
        <f t="shared" si="8"/>
        <v>0.41</v>
      </c>
      <c r="Z94" s="105"/>
      <c r="AA94" s="105"/>
      <c r="AB94" s="105"/>
    </row>
    <row r="95" spans="1:28" ht="28.5">
      <c r="A95" s="105" t="s">
        <v>365</v>
      </c>
      <c r="B95" s="106" t="s">
        <v>366</v>
      </c>
      <c r="C95" s="105">
        <v>31155</v>
      </c>
      <c r="D95" s="105" t="s">
        <v>259</v>
      </c>
      <c r="E95" s="105">
        <v>100</v>
      </c>
      <c r="F95" s="105">
        <v>0.65</v>
      </c>
      <c r="G95" s="105">
        <v>100</v>
      </c>
      <c r="H95" s="105">
        <v>0</v>
      </c>
      <c r="I95" s="105">
        <v>0</v>
      </c>
      <c r="J95" s="105">
        <v>0</v>
      </c>
      <c r="K95" s="105">
        <v>1</v>
      </c>
      <c r="L95" s="105">
        <v>0</v>
      </c>
      <c r="M95" s="105">
        <v>0.01</v>
      </c>
      <c r="N95" s="105">
        <v>0.33</v>
      </c>
      <c r="O95" s="105">
        <v>0.01</v>
      </c>
      <c r="P95" s="105">
        <v>0.1</v>
      </c>
      <c r="Q95" s="105">
        <v>0</v>
      </c>
      <c r="R95" s="110">
        <f t="shared" si="5"/>
        <v>0</v>
      </c>
      <c r="S95" s="110">
        <v>1</v>
      </c>
      <c r="T95" s="109">
        <v>0</v>
      </c>
      <c r="U95" s="110">
        <v>0.01</v>
      </c>
      <c r="V95" s="110">
        <v>0</v>
      </c>
      <c r="W95" s="110">
        <f t="shared" si="7"/>
        <v>0</v>
      </c>
      <c r="X95" s="110">
        <f t="shared" si="8"/>
        <v>0</v>
      </c>
      <c r="Y95" s="110">
        <f t="shared" si="8"/>
        <v>0</v>
      </c>
      <c r="Z95" s="105"/>
      <c r="AA95" s="105"/>
      <c r="AB95" s="105"/>
    </row>
    <row r="96" spans="1:28" ht="17.25">
      <c r="A96" s="105" t="s">
        <v>367</v>
      </c>
      <c r="B96" s="106" t="s">
        <v>368</v>
      </c>
      <c r="C96" s="105">
        <v>31155</v>
      </c>
      <c r="D96" s="105" t="s">
        <v>259</v>
      </c>
      <c r="E96" s="105">
        <v>100</v>
      </c>
      <c r="F96" s="105">
        <v>0.65</v>
      </c>
      <c r="G96" s="105">
        <v>100</v>
      </c>
      <c r="H96" s="105">
        <v>0</v>
      </c>
      <c r="I96" s="105">
        <v>0</v>
      </c>
      <c r="J96" s="105">
        <v>0</v>
      </c>
      <c r="K96" s="105">
        <v>1</v>
      </c>
      <c r="L96" s="105">
        <v>0</v>
      </c>
      <c r="M96" s="105">
        <v>0.01</v>
      </c>
      <c r="N96" s="105">
        <v>0.33</v>
      </c>
      <c r="O96" s="105">
        <v>0.01</v>
      </c>
      <c r="P96" s="105">
        <v>0.1</v>
      </c>
      <c r="Q96" s="105">
        <v>0</v>
      </c>
      <c r="R96" s="110">
        <f t="shared" si="5"/>
        <v>0</v>
      </c>
      <c r="S96" s="110">
        <v>1</v>
      </c>
      <c r="T96" s="109">
        <v>0</v>
      </c>
      <c r="U96" s="110">
        <v>0.01</v>
      </c>
      <c r="V96" s="110">
        <v>0</v>
      </c>
      <c r="W96" s="110">
        <f t="shared" si="7"/>
        <v>0</v>
      </c>
      <c r="X96" s="110">
        <f t="shared" si="8"/>
        <v>0</v>
      </c>
      <c r="Y96" s="110">
        <f t="shared" si="8"/>
        <v>0</v>
      </c>
      <c r="Z96" s="105"/>
      <c r="AA96" s="105"/>
      <c r="AB96" s="105"/>
    </row>
    <row r="97" spans="1:28" ht="28.5">
      <c r="A97" s="105" t="s">
        <v>369</v>
      </c>
      <c r="B97" s="106" t="s">
        <v>370</v>
      </c>
      <c r="C97" s="105">
        <v>31155</v>
      </c>
      <c r="D97" s="105" t="s">
        <v>259</v>
      </c>
      <c r="E97" s="105">
        <v>100</v>
      </c>
      <c r="F97" s="105">
        <v>0.65</v>
      </c>
      <c r="G97" s="105">
        <v>100</v>
      </c>
      <c r="H97" s="105">
        <v>0</v>
      </c>
      <c r="I97" s="105">
        <v>0</v>
      </c>
      <c r="J97" s="105">
        <v>0</v>
      </c>
      <c r="K97" s="105">
        <v>1</v>
      </c>
      <c r="L97" s="105">
        <v>0</v>
      </c>
      <c r="M97" s="105">
        <v>0.01</v>
      </c>
      <c r="N97" s="105">
        <v>0.33</v>
      </c>
      <c r="O97" s="105">
        <v>0.01</v>
      </c>
      <c r="P97" s="105">
        <v>0.1</v>
      </c>
      <c r="Q97" s="105">
        <v>0</v>
      </c>
      <c r="R97" s="110">
        <f t="shared" si="5"/>
        <v>0</v>
      </c>
      <c r="S97" s="110">
        <v>1</v>
      </c>
      <c r="T97" s="109">
        <v>0</v>
      </c>
      <c r="U97" s="110">
        <v>0.01</v>
      </c>
      <c r="V97" s="110">
        <v>0</v>
      </c>
      <c r="W97" s="110">
        <f t="shared" si="7"/>
        <v>0</v>
      </c>
      <c r="X97" s="110">
        <f t="shared" si="8"/>
        <v>0</v>
      </c>
      <c r="Y97" s="110">
        <f t="shared" si="8"/>
        <v>0</v>
      </c>
      <c r="Z97" s="105"/>
      <c r="AA97" s="105"/>
      <c r="AB97" s="105"/>
    </row>
    <row r="98" spans="1:28" ht="28.5">
      <c r="A98" s="105" t="s">
        <v>371</v>
      </c>
      <c r="B98" s="106" t="s">
        <v>372</v>
      </c>
      <c r="C98" s="105">
        <v>31155</v>
      </c>
      <c r="D98" s="105" t="s">
        <v>259</v>
      </c>
      <c r="E98" s="105">
        <v>100</v>
      </c>
      <c r="F98" s="105">
        <v>0.65</v>
      </c>
      <c r="G98" s="105">
        <v>100</v>
      </c>
      <c r="H98" s="105">
        <v>0</v>
      </c>
      <c r="I98" s="105">
        <v>0</v>
      </c>
      <c r="J98" s="105">
        <v>0</v>
      </c>
      <c r="K98" s="105">
        <v>1</v>
      </c>
      <c r="L98" s="105">
        <v>0</v>
      </c>
      <c r="M98" s="105">
        <v>0.01</v>
      </c>
      <c r="N98" s="105">
        <v>0.33</v>
      </c>
      <c r="O98" s="105">
        <v>0.01</v>
      </c>
      <c r="P98" s="105">
        <v>0.1</v>
      </c>
      <c r="Q98" s="105">
        <v>0</v>
      </c>
      <c r="R98" s="110">
        <f t="shared" si="5"/>
        <v>0</v>
      </c>
      <c r="S98" s="110">
        <v>1</v>
      </c>
      <c r="T98" s="109">
        <v>0</v>
      </c>
      <c r="U98" s="110">
        <v>0.01</v>
      </c>
      <c r="V98" s="110">
        <v>0</v>
      </c>
      <c r="W98" s="110">
        <f t="shared" si="7"/>
        <v>0</v>
      </c>
      <c r="X98" s="110">
        <f t="shared" si="8"/>
        <v>0</v>
      </c>
      <c r="Y98" s="110">
        <f t="shared" si="8"/>
        <v>0</v>
      </c>
      <c r="Z98" s="105"/>
      <c r="AA98" s="105"/>
      <c r="AB98" s="105"/>
    </row>
    <row r="99" spans="1:28" ht="28.5">
      <c r="A99" s="105" t="s">
        <v>373</v>
      </c>
      <c r="B99" s="106" t="s">
        <v>374</v>
      </c>
      <c r="C99" s="105">
        <v>31155</v>
      </c>
      <c r="D99" s="105" t="s">
        <v>259</v>
      </c>
      <c r="E99" s="105">
        <v>100</v>
      </c>
      <c r="F99" s="105">
        <v>0.65</v>
      </c>
      <c r="G99" s="105">
        <v>100</v>
      </c>
      <c r="H99" s="105">
        <v>0</v>
      </c>
      <c r="I99" s="105">
        <v>0</v>
      </c>
      <c r="J99" s="105">
        <v>0</v>
      </c>
      <c r="K99" s="105">
        <v>1</v>
      </c>
      <c r="L99" s="105">
        <v>0</v>
      </c>
      <c r="M99" s="105">
        <v>0.01</v>
      </c>
      <c r="N99" s="105">
        <v>0.33</v>
      </c>
      <c r="O99" s="105">
        <v>0.01</v>
      </c>
      <c r="P99" s="105">
        <v>0.1</v>
      </c>
      <c r="Q99" s="105">
        <v>0</v>
      </c>
      <c r="R99" s="110">
        <f t="shared" si="5"/>
        <v>0</v>
      </c>
      <c r="S99" s="110">
        <v>1</v>
      </c>
      <c r="T99" s="109">
        <v>0</v>
      </c>
      <c r="U99" s="110">
        <v>0.01</v>
      </c>
      <c r="V99" s="110">
        <v>0</v>
      </c>
      <c r="W99" s="110">
        <f t="shared" si="7"/>
        <v>0</v>
      </c>
      <c r="X99" s="110">
        <f t="shared" si="8"/>
        <v>0</v>
      </c>
      <c r="Y99" s="110">
        <f t="shared" si="8"/>
        <v>0</v>
      </c>
      <c r="Z99" s="105"/>
      <c r="AA99" s="105"/>
      <c r="AB99" s="105"/>
    </row>
    <row r="100" spans="1:28" ht="17.25">
      <c r="A100" s="105" t="s">
        <v>375</v>
      </c>
      <c r="B100" s="106" t="s">
        <v>376</v>
      </c>
      <c r="C100" s="105">
        <v>31155</v>
      </c>
      <c r="D100" s="105" t="s">
        <v>259</v>
      </c>
      <c r="E100" s="105">
        <v>100</v>
      </c>
      <c r="F100" s="105">
        <v>0.65</v>
      </c>
      <c r="G100" s="105">
        <v>100</v>
      </c>
      <c r="H100" s="105">
        <v>0</v>
      </c>
      <c r="I100" s="105">
        <v>0</v>
      </c>
      <c r="J100" s="105">
        <v>0</v>
      </c>
      <c r="K100" s="105">
        <v>1</v>
      </c>
      <c r="L100" s="105">
        <v>1.65</v>
      </c>
      <c r="M100" s="105">
        <v>20</v>
      </c>
      <c r="N100" s="105">
        <v>5</v>
      </c>
      <c r="O100" s="105">
        <v>0.45</v>
      </c>
      <c r="P100" s="105">
        <v>5</v>
      </c>
      <c r="Q100" s="105">
        <v>0</v>
      </c>
      <c r="R100" s="110">
        <f t="shared" si="5"/>
        <v>0</v>
      </c>
      <c r="S100" s="110">
        <v>0.5</v>
      </c>
      <c r="T100" s="109">
        <v>0.82</v>
      </c>
      <c r="U100" s="110">
        <v>10</v>
      </c>
      <c r="V100" s="110">
        <v>0.5</v>
      </c>
      <c r="W100" s="110">
        <f t="shared" si="7"/>
        <v>0.82</v>
      </c>
      <c r="X100" s="110">
        <v>1</v>
      </c>
      <c r="Y100" s="110">
        <v>1.65</v>
      </c>
      <c r="Z100" s="105"/>
      <c r="AA100" s="105"/>
      <c r="AB100" s="105"/>
    </row>
    <row r="101" spans="1:28" ht="17.25">
      <c r="A101" s="105" t="s">
        <v>377</v>
      </c>
      <c r="B101" s="106" t="s">
        <v>378</v>
      </c>
      <c r="C101" s="105">
        <v>31155</v>
      </c>
      <c r="D101" s="105" t="s">
        <v>259</v>
      </c>
      <c r="E101" s="105">
        <v>100</v>
      </c>
      <c r="F101" s="105">
        <v>0.65</v>
      </c>
      <c r="G101" s="105">
        <v>100</v>
      </c>
      <c r="H101" s="105">
        <v>0</v>
      </c>
      <c r="I101" s="105">
        <v>0</v>
      </c>
      <c r="J101" s="105">
        <v>0</v>
      </c>
      <c r="K101" s="105">
        <v>1</v>
      </c>
      <c r="L101" s="105">
        <v>0</v>
      </c>
      <c r="M101" s="105">
        <v>0.01</v>
      </c>
      <c r="N101" s="105">
        <v>0.33</v>
      </c>
      <c r="O101" s="105">
        <v>0.01</v>
      </c>
      <c r="P101" s="105">
        <v>0.1</v>
      </c>
      <c r="Q101" s="105">
        <v>0</v>
      </c>
      <c r="R101" s="110">
        <f t="shared" si="5"/>
        <v>0</v>
      </c>
      <c r="S101" s="110">
        <v>1</v>
      </c>
      <c r="T101" s="109">
        <v>0</v>
      </c>
      <c r="U101" s="110">
        <v>0.01</v>
      </c>
      <c r="V101" s="110">
        <v>0</v>
      </c>
      <c r="W101" s="110">
        <f t="shared" si="7"/>
        <v>0</v>
      </c>
      <c r="X101" s="110">
        <f t="shared" si="8"/>
        <v>0</v>
      </c>
      <c r="Y101" s="110">
        <f t="shared" si="8"/>
        <v>0</v>
      </c>
      <c r="Z101" s="105"/>
      <c r="AA101" s="105"/>
      <c r="AB101" s="105"/>
    </row>
    <row r="102" spans="1:28" ht="17.25">
      <c r="A102" s="105" t="s">
        <v>379</v>
      </c>
      <c r="B102" s="106" t="s">
        <v>380</v>
      </c>
      <c r="C102" s="105">
        <v>31155</v>
      </c>
      <c r="D102" s="105" t="s">
        <v>259</v>
      </c>
      <c r="E102" s="105">
        <v>100</v>
      </c>
      <c r="F102" s="105">
        <v>0.65</v>
      </c>
      <c r="G102" s="105">
        <v>100</v>
      </c>
      <c r="H102" s="105">
        <v>0</v>
      </c>
      <c r="I102" s="105">
        <v>0</v>
      </c>
      <c r="J102" s="105">
        <v>0</v>
      </c>
      <c r="K102" s="105">
        <v>1</v>
      </c>
      <c r="L102" s="105">
        <v>0</v>
      </c>
      <c r="M102" s="105">
        <v>0.01</v>
      </c>
      <c r="N102" s="105">
        <v>0.33</v>
      </c>
      <c r="O102" s="105">
        <v>0.01</v>
      </c>
      <c r="P102" s="105">
        <v>0.1</v>
      </c>
      <c r="Q102" s="105">
        <v>0</v>
      </c>
      <c r="R102" s="110">
        <f t="shared" si="5"/>
        <v>0</v>
      </c>
      <c r="S102" s="110">
        <v>1</v>
      </c>
      <c r="T102" s="109">
        <v>0</v>
      </c>
      <c r="U102" s="110">
        <v>0.01</v>
      </c>
      <c r="V102" s="110">
        <v>0</v>
      </c>
      <c r="W102" s="110">
        <f t="shared" si="7"/>
        <v>0</v>
      </c>
      <c r="X102" s="110">
        <f t="shared" si="8"/>
        <v>0</v>
      </c>
      <c r="Y102" s="110">
        <f t="shared" si="8"/>
        <v>0</v>
      </c>
      <c r="Z102" s="105"/>
      <c r="AA102" s="105"/>
      <c r="AB102" s="105"/>
    </row>
    <row r="103" spans="1:28" ht="17.25">
      <c r="A103" s="105" t="s">
        <v>381</v>
      </c>
      <c r="B103" s="106" t="s">
        <v>382</v>
      </c>
      <c r="C103" s="105">
        <v>31155</v>
      </c>
      <c r="D103" s="105" t="s">
        <v>259</v>
      </c>
      <c r="E103" s="105">
        <v>100</v>
      </c>
      <c r="F103" s="105">
        <v>0.32</v>
      </c>
      <c r="G103" s="105">
        <v>50</v>
      </c>
      <c r="H103" s="105">
        <v>0</v>
      </c>
      <c r="I103" s="105">
        <v>0</v>
      </c>
      <c r="J103" s="105">
        <v>0</v>
      </c>
      <c r="K103" s="105">
        <v>1</v>
      </c>
      <c r="L103" s="105">
        <v>0</v>
      </c>
      <c r="M103" s="105">
        <v>0.01</v>
      </c>
      <c r="N103" s="105">
        <v>0.3</v>
      </c>
      <c r="O103" s="105">
        <v>0.01</v>
      </c>
      <c r="P103" s="105">
        <v>0.1</v>
      </c>
      <c r="Q103" s="105">
        <v>0</v>
      </c>
      <c r="R103" s="110">
        <f t="shared" si="5"/>
        <v>0</v>
      </c>
      <c r="S103" s="110">
        <v>1</v>
      </c>
      <c r="T103" s="109">
        <v>0</v>
      </c>
      <c r="U103" s="110">
        <v>0.01</v>
      </c>
      <c r="V103" s="110">
        <v>0</v>
      </c>
      <c r="W103" s="110">
        <f t="shared" si="7"/>
        <v>0</v>
      </c>
      <c r="X103" s="110">
        <f t="shared" si="8"/>
        <v>0</v>
      </c>
      <c r="Y103" s="110">
        <f t="shared" si="8"/>
        <v>0</v>
      </c>
      <c r="Z103" s="105"/>
      <c r="AA103" s="105"/>
      <c r="AB103" s="105"/>
    </row>
    <row r="104" spans="1:28" ht="17.25">
      <c r="A104" s="105" t="s">
        <v>383</v>
      </c>
      <c r="B104" s="106" t="s">
        <v>384</v>
      </c>
      <c r="C104" s="105">
        <v>31155</v>
      </c>
      <c r="D104" s="105" t="s">
        <v>259</v>
      </c>
      <c r="E104" s="105">
        <v>0</v>
      </c>
      <c r="F104" s="105">
        <v>0</v>
      </c>
      <c r="G104" s="105">
        <v>0</v>
      </c>
      <c r="H104" s="105">
        <v>0</v>
      </c>
      <c r="I104" s="105">
        <v>0</v>
      </c>
      <c r="J104" s="105">
        <v>0</v>
      </c>
      <c r="K104" s="105">
        <v>1</v>
      </c>
      <c r="L104" s="105">
        <v>0</v>
      </c>
      <c r="M104" s="105">
        <v>0</v>
      </c>
      <c r="N104" s="105">
        <v>0</v>
      </c>
      <c r="O104" s="105">
        <v>0</v>
      </c>
      <c r="P104" s="105">
        <v>0</v>
      </c>
      <c r="Q104" s="105">
        <v>0</v>
      </c>
      <c r="R104" s="110">
        <v>0</v>
      </c>
      <c r="S104" s="110">
        <v>1</v>
      </c>
      <c r="T104" s="109">
        <v>0</v>
      </c>
      <c r="U104" s="110">
        <v>0</v>
      </c>
      <c r="V104" s="110">
        <v>0</v>
      </c>
      <c r="W104" s="110">
        <f t="shared" si="7"/>
        <v>0</v>
      </c>
      <c r="X104" s="110">
        <f t="shared" si="8"/>
        <v>0</v>
      </c>
      <c r="Y104" s="110">
        <f t="shared" si="8"/>
        <v>0</v>
      </c>
      <c r="Z104" s="105"/>
      <c r="AA104" s="105"/>
      <c r="AB104" s="105"/>
    </row>
    <row r="105" spans="1:28" ht="17.25">
      <c r="A105" s="105" t="s">
        <v>385</v>
      </c>
      <c r="B105" s="106" t="s">
        <v>386</v>
      </c>
      <c r="C105" s="105">
        <v>31155</v>
      </c>
      <c r="D105" s="105" t="s">
        <v>259</v>
      </c>
      <c r="E105" s="105">
        <v>0</v>
      </c>
      <c r="F105" s="105">
        <v>0</v>
      </c>
      <c r="G105" s="105">
        <v>0</v>
      </c>
      <c r="H105" s="105">
        <v>0</v>
      </c>
      <c r="I105" s="105">
        <v>0</v>
      </c>
      <c r="J105" s="105">
        <v>0</v>
      </c>
      <c r="K105" s="105">
        <v>1</v>
      </c>
      <c r="L105" s="105">
        <v>0</v>
      </c>
      <c r="M105" s="105">
        <v>0</v>
      </c>
      <c r="N105" s="105">
        <v>0</v>
      </c>
      <c r="O105" s="105">
        <v>0</v>
      </c>
      <c r="P105" s="105">
        <v>0</v>
      </c>
      <c r="Q105" s="105">
        <v>0</v>
      </c>
      <c r="R105" s="110">
        <v>0</v>
      </c>
      <c r="S105" s="110">
        <v>1</v>
      </c>
      <c r="T105" s="109">
        <v>0</v>
      </c>
      <c r="U105" s="110">
        <v>0</v>
      </c>
      <c r="V105" s="110">
        <v>0</v>
      </c>
      <c r="W105" s="110">
        <f t="shared" si="7"/>
        <v>0</v>
      </c>
      <c r="X105" s="110">
        <f t="shared" si="8"/>
        <v>0</v>
      </c>
      <c r="Y105" s="110">
        <f t="shared" si="8"/>
        <v>0</v>
      </c>
      <c r="Z105" s="105"/>
      <c r="AA105" s="105"/>
      <c r="AB105" s="105"/>
    </row>
    <row r="106" spans="1:28" ht="28.5">
      <c r="A106" s="105" t="s">
        <v>387</v>
      </c>
      <c r="B106" s="106" t="s">
        <v>388</v>
      </c>
      <c r="C106" s="105">
        <v>31155</v>
      </c>
      <c r="D106" s="105" t="s">
        <v>259</v>
      </c>
      <c r="E106" s="105">
        <v>100</v>
      </c>
      <c r="F106" s="105">
        <v>0.65</v>
      </c>
      <c r="G106" s="105">
        <v>100</v>
      </c>
      <c r="H106" s="105">
        <v>0</v>
      </c>
      <c r="I106" s="105">
        <v>0</v>
      </c>
      <c r="J106" s="105">
        <v>0</v>
      </c>
      <c r="K106" s="105">
        <v>1</v>
      </c>
      <c r="L106" s="105">
        <v>0</v>
      </c>
      <c r="M106" s="105">
        <v>0.01</v>
      </c>
      <c r="N106" s="105">
        <v>0.5</v>
      </c>
      <c r="O106" s="105">
        <v>0.01</v>
      </c>
      <c r="P106" s="105">
        <v>0.1</v>
      </c>
      <c r="Q106" s="105">
        <v>0</v>
      </c>
      <c r="R106" s="110">
        <f>O106/N106*Q106</f>
        <v>0</v>
      </c>
      <c r="S106" s="110">
        <v>1</v>
      </c>
      <c r="T106" s="138">
        <v>0</v>
      </c>
      <c r="U106" s="110">
        <v>0.01</v>
      </c>
      <c r="V106" s="110">
        <v>0</v>
      </c>
      <c r="W106" s="110">
        <f t="shared" si="7"/>
        <v>0</v>
      </c>
      <c r="X106" s="110">
        <f t="shared" si="8"/>
        <v>0</v>
      </c>
      <c r="Y106" s="110">
        <f t="shared" si="8"/>
        <v>0</v>
      </c>
      <c r="Z106" s="105"/>
      <c r="AA106" s="105"/>
      <c r="AB106" s="105"/>
    </row>
    <row r="107" spans="1:28" ht="17.25">
      <c r="A107" s="105" t="s">
        <v>389</v>
      </c>
      <c r="B107" s="106" t="s">
        <v>390</v>
      </c>
      <c r="C107" s="105">
        <v>31155</v>
      </c>
      <c r="D107" s="105" t="s">
        <v>259</v>
      </c>
      <c r="E107" s="105">
        <v>100</v>
      </c>
      <c r="F107" s="105">
        <v>2.7</v>
      </c>
      <c r="G107" s="105">
        <v>418</v>
      </c>
      <c r="H107" s="105">
        <v>90</v>
      </c>
      <c r="I107" s="105">
        <v>7.82</v>
      </c>
      <c r="J107" s="105">
        <v>300</v>
      </c>
      <c r="K107" s="105">
        <v>1</v>
      </c>
      <c r="L107" s="105">
        <v>1.65</v>
      </c>
      <c r="M107" s="105">
        <v>20</v>
      </c>
      <c r="N107" s="105">
        <v>1</v>
      </c>
      <c r="O107" s="105">
        <v>0.37</v>
      </c>
      <c r="P107" s="105">
        <v>4.18</v>
      </c>
      <c r="Q107" s="105">
        <v>0.3</v>
      </c>
      <c r="R107" s="110">
        <f>O107/N107*Q107</f>
        <v>0.111</v>
      </c>
      <c r="S107" s="110">
        <v>0.25</v>
      </c>
      <c r="T107" s="138">
        <v>0.41</v>
      </c>
      <c r="U107" s="110">
        <v>5</v>
      </c>
      <c r="V107" s="110">
        <v>0.25</v>
      </c>
      <c r="W107" s="110">
        <f t="shared" si="7"/>
        <v>0.41</v>
      </c>
      <c r="X107" s="110">
        <v>1</v>
      </c>
      <c r="Y107" s="110">
        <v>1.65</v>
      </c>
      <c r="Z107" s="105"/>
      <c r="AA107" s="105"/>
      <c r="AB107" s="105"/>
    </row>
    <row r="108" spans="1:28" s="104" customFormat="1" ht="28.5">
      <c r="A108" s="105" t="s">
        <v>391</v>
      </c>
      <c r="B108" s="106" t="s">
        <v>392</v>
      </c>
      <c r="C108" s="105">
        <v>31155</v>
      </c>
      <c r="D108" s="105" t="s">
        <v>259</v>
      </c>
      <c r="E108" s="105">
        <v>100</v>
      </c>
      <c r="F108" s="105">
        <v>0.65</v>
      </c>
      <c r="G108" s="105">
        <v>100</v>
      </c>
      <c r="H108" s="105">
        <v>0</v>
      </c>
      <c r="I108" s="105">
        <v>0</v>
      </c>
      <c r="J108" s="105">
        <v>0</v>
      </c>
      <c r="K108" s="105">
        <v>1</v>
      </c>
      <c r="L108" s="105">
        <v>0.41</v>
      </c>
      <c r="M108" s="105">
        <v>5</v>
      </c>
      <c r="N108" s="105">
        <v>1</v>
      </c>
      <c r="O108" s="105">
        <v>0.09</v>
      </c>
      <c r="P108" s="105">
        <v>1</v>
      </c>
      <c r="Q108" s="105">
        <v>0</v>
      </c>
      <c r="R108" s="110">
        <f>O108/N108*Q108</f>
        <v>0</v>
      </c>
      <c r="S108" s="110">
        <v>1</v>
      </c>
      <c r="T108" s="139">
        <v>0.41</v>
      </c>
      <c r="U108" s="110">
        <v>5</v>
      </c>
      <c r="V108" s="110">
        <v>1</v>
      </c>
      <c r="W108" s="110">
        <v>0.41</v>
      </c>
      <c r="X108" s="110">
        <f>V108+Q108</f>
        <v>1</v>
      </c>
      <c r="Y108" s="110">
        <f>W108+R108</f>
        <v>0.41</v>
      </c>
      <c r="Z108" s="105"/>
      <c r="AA108" s="105"/>
      <c r="AB108" s="105"/>
    </row>
    <row r="109" spans="1:28" ht="17.25">
      <c r="A109" s="105" t="s">
        <v>393</v>
      </c>
      <c r="B109" s="106" t="s">
        <v>394</v>
      </c>
      <c r="C109" s="105">
        <v>31155</v>
      </c>
      <c r="D109" s="105" t="s">
        <v>259</v>
      </c>
      <c r="E109" s="105">
        <v>100</v>
      </c>
      <c r="F109" s="105">
        <v>0.65</v>
      </c>
      <c r="G109" s="105">
        <v>100</v>
      </c>
      <c r="H109" s="105">
        <v>0</v>
      </c>
      <c r="I109" s="105">
        <v>0</v>
      </c>
      <c r="J109" s="105">
        <v>0</v>
      </c>
      <c r="K109" s="105">
        <v>1</v>
      </c>
      <c r="L109" s="105">
        <v>0</v>
      </c>
      <c r="M109" s="105">
        <v>0.01</v>
      </c>
      <c r="N109" s="105">
        <v>1</v>
      </c>
      <c r="O109" s="105">
        <v>0.01</v>
      </c>
      <c r="P109" s="105">
        <v>0.1</v>
      </c>
      <c r="Q109" s="105">
        <v>0</v>
      </c>
      <c r="R109" s="110">
        <f>O109/N109*Q109</f>
        <v>0</v>
      </c>
      <c r="S109" s="110">
        <v>1</v>
      </c>
      <c r="T109" s="138">
        <v>0</v>
      </c>
      <c r="U109" s="110">
        <v>0.01</v>
      </c>
      <c r="V109" s="110">
        <v>0</v>
      </c>
      <c r="W109" s="110">
        <f t="shared" si="7"/>
        <v>0</v>
      </c>
      <c r="X109" s="110">
        <f t="shared" si="8"/>
        <v>0</v>
      </c>
      <c r="Y109" s="110">
        <f t="shared" si="8"/>
        <v>0</v>
      </c>
      <c r="Z109" s="105"/>
      <c r="AA109" s="105"/>
      <c r="AB109" s="105"/>
    </row>
    <row r="110" spans="1:28" s="104" customFormat="1" ht="28.5">
      <c r="A110" s="118" t="s">
        <v>395</v>
      </c>
      <c r="B110" s="128" t="s">
        <v>396</v>
      </c>
      <c r="C110" s="118">
        <v>31155</v>
      </c>
      <c r="D110" s="118" t="s">
        <v>397</v>
      </c>
      <c r="E110" s="118">
        <v>0</v>
      </c>
      <c r="F110" s="118">
        <v>0</v>
      </c>
      <c r="G110" s="118">
        <v>0</v>
      </c>
      <c r="H110" s="118">
        <v>0</v>
      </c>
      <c r="I110" s="118">
        <v>0</v>
      </c>
      <c r="J110" s="118">
        <v>0</v>
      </c>
      <c r="K110" s="118">
        <v>1</v>
      </c>
      <c r="L110" s="118">
        <v>2.4700000000000002</v>
      </c>
      <c r="M110" s="118">
        <v>30</v>
      </c>
      <c r="N110" s="118">
        <v>0</v>
      </c>
      <c r="O110" s="118">
        <v>0.9</v>
      </c>
      <c r="P110" s="118">
        <v>10</v>
      </c>
      <c r="Q110" s="118">
        <v>0</v>
      </c>
      <c r="R110" s="131">
        <v>0</v>
      </c>
      <c r="S110" s="131">
        <v>0.67</v>
      </c>
      <c r="T110" s="140">
        <v>1.65</v>
      </c>
      <c r="U110" s="131">
        <v>20</v>
      </c>
      <c r="V110" s="131">
        <v>0.67</v>
      </c>
      <c r="W110" s="131">
        <f>T110/S110*V110</f>
        <v>1.65</v>
      </c>
      <c r="X110" s="131">
        <v>1</v>
      </c>
      <c r="Y110" s="131">
        <v>2.4700000000000002</v>
      </c>
      <c r="Z110" s="118"/>
      <c r="AA110" s="118"/>
      <c r="AB110" s="118"/>
    </row>
    <row r="111" spans="1:28" ht="17.25">
      <c r="A111" s="141" t="s">
        <v>398</v>
      </c>
      <c r="B111" s="94"/>
      <c r="C111" s="94"/>
      <c r="D111" s="94"/>
      <c r="E111" s="94"/>
      <c r="F111" s="94"/>
      <c r="G111" s="94"/>
      <c r="H111" s="94"/>
      <c r="I111" s="94"/>
      <c r="J111" s="94"/>
      <c r="K111" s="94"/>
      <c r="L111" s="94"/>
      <c r="M111" s="142">
        <f>SUM(M113:M144)</f>
        <v>125.50000000000004</v>
      </c>
      <c r="N111" s="94"/>
      <c r="O111" s="94"/>
      <c r="P111" s="94"/>
      <c r="Q111" s="94"/>
      <c r="R111" s="94"/>
      <c r="S111" s="94"/>
      <c r="T111" s="143"/>
      <c r="U111" s="142">
        <f>SUM(U113:U144)</f>
        <v>76.900000000000034</v>
      </c>
      <c r="V111" s="94"/>
      <c r="W111" s="101"/>
      <c r="X111" s="101"/>
      <c r="Y111" s="101"/>
      <c r="Z111" s="94"/>
      <c r="AA111" s="94"/>
      <c r="AB111" s="144"/>
    </row>
    <row r="112" spans="1:28" ht="17.25">
      <c r="A112" s="98" t="s">
        <v>399</v>
      </c>
      <c r="B112" s="99" t="s">
        <v>400</v>
      </c>
      <c r="C112" s="145"/>
      <c r="D112" s="98"/>
      <c r="E112" s="98"/>
      <c r="F112" s="98"/>
      <c r="G112" s="98"/>
      <c r="H112" s="98"/>
      <c r="I112" s="98"/>
      <c r="J112" s="98"/>
      <c r="K112" s="98"/>
      <c r="L112" s="98"/>
      <c r="M112" s="98"/>
      <c r="N112" s="98"/>
      <c r="O112" s="98"/>
      <c r="P112" s="98"/>
      <c r="Q112" s="98"/>
      <c r="R112" s="98"/>
      <c r="S112" s="98"/>
      <c r="T112" s="146"/>
      <c r="U112" s="98"/>
      <c r="V112" s="98"/>
      <c r="W112" s="101"/>
      <c r="X112" s="101"/>
      <c r="Y112" s="101"/>
      <c r="Z112" s="98"/>
      <c r="AA112" s="98"/>
      <c r="AB112" s="98"/>
    </row>
    <row r="113" spans="1:29" ht="17.25">
      <c r="A113" s="105" t="s">
        <v>401</v>
      </c>
      <c r="B113" s="106" t="s">
        <v>402</v>
      </c>
      <c r="C113" s="105">
        <v>31155</v>
      </c>
      <c r="D113" s="105" t="s">
        <v>403</v>
      </c>
      <c r="E113" s="105">
        <v>100</v>
      </c>
      <c r="F113" s="105">
        <v>1.68</v>
      </c>
      <c r="G113" s="105">
        <v>260</v>
      </c>
      <c r="H113" s="105">
        <v>60</v>
      </c>
      <c r="I113" s="105">
        <v>0.26</v>
      </c>
      <c r="J113" s="105">
        <v>10</v>
      </c>
      <c r="K113" s="105">
        <v>1</v>
      </c>
      <c r="L113" s="105">
        <v>0.82</v>
      </c>
      <c r="M113" s="105">
        <v>10</v>
      </c>
      <c r="N113" s="105">
        <v>1.25</v>
      </c>
      <c r="O113" s="105">
        <v>0.45</v>
      </c>
      <c r="P113" s="105">
        <v>5</v>
      </c>
      <c r="Q113" s="105">
        <v>0.4</v>
      </c>
      <c r="R113" s="110">
        <f>O113/N113*Q113</f>
        <v>0.14399999999999999</v>
      </c>
      <c r="S113" s="110">
        <v>0.5</v>
      </c>
      <c r="T113" s="138">
        <v>0.41</v>
      </c>
      <c r="U113" s="110">
        <v>5</v>
      </c>
      <c r="V113" s="110">
        <v>0.5</v>
      </c>
      <c r="W113" s="110">
        <f t="shared" si="7"/>
        <v>0.41</v>
      </c>
      <c r="X113" s="110">
        <v>0.8</v>
      </c>
      <c r="Y113" s="110">
        <f>L113/K113*X113</f>
        <v>0.65600000000000003</v>
      </c>
      <c r="Z113" s="105"/>
      <c r="AA113" s="105"/>
      <c r="AB113" s="105"/>
    </row>
    <row r="114" spans="1:29" ht="17.25">
      <c r="A114" s="105" t="s">
        <v>404</v>
      </c>
      <c r="B114" s="106" t="s">
        <v>405</v>
      </c>
      <c r="C114" s="147"/>
      <c r="D114" s="105"/>
      <c r="E114" s="105"/>
      <c r="F114" s="105"/>
      <c r="G114" s="105"/>
      <c r="H114" s="105"/>
      <c r="I114" s="105"/>
      <c r="J114" s="105"/>
      <c r="K114" s="105"/>
      <c r="L114" s="105"/>
      <c r="M114" s="105"/>
      <c r="N114" s="105"/>
      <c r="O114" s="105"/>
      <c r="P114" s="105"/>
      <c r="Q114" s="105"/>
      <c r="R114" s="105"/>
      <c r="S114" s="105"/>
      <c r="T114" s="138"/>
      <c r="U114" s="105"/>
      <c r="V114" s="105"/>
      <c r="W114" s="110"/>
      <c r="X114" s="110"/>
      <c r="Y114" s="110"/>
      <c r="Z114" s="105"/>
      <c r="AA114" s="105"/>
      <c r="AB114" s="105"/>
    </row>
    <row r="115" spans="1:29" ht="17.25">
      <c r="A115" s="105" t="s">
        <v>406</v>
      </c>
      <c r="B115" s="106" t="s">
        <v>258</v>
      </c>
      <c r="C115" s="105">
        <v>31155</v>
      </c>
      <c r="D115" s="105" t="s">
        <v>259</v>
      </c>
      <c r="E115" s="105">
        <v>100</v>
      </c>
      <c r="F115" s="105">
        <v>8.08</v>
      </c>
      <c r="G115" s="105">
        <v>1250</v>
      </c>
      <c r="H115" s="105">
        <v>20</v>
      </c>
      <c r="I115" s="105">
        <v>0.65</v>
      </c>
      <c r="J115" s="105">
        <v>25</v>
      </c>
      <c r="K115" s="105">
        <v>1</v>
      </c>
      <c r="L115" s="105">
        <v>4.2699999999999996</v>
      </c>
      <c r="M115" s="105">
        <v>51.91</v>
      </c>
      <c r="N115" s="105">
        <v>10</v>
      </c>
      <c r="O115" s="105">
        <v>1.08</v>
      </c>
      <c r="P115" s="105">
        <v>12</v>
      </c>
      <c r="Q115" s="105">
        <v>4</v>
      </c>
      <c r="R115" s="110">
        <f>O115/N115*Q115</f>
        <v>0.43200000000000005</v>
      </c>
      <c r="S115" s="110">
        <v>0.79</v>
      </c>
      <c r="T115" s="138">
        <v>3.37</v>
      </c>
      <c r="U115" s="110">
        <v>40.909999999999997</v>
      </c>
      <c r="V115" s="110">
        <v>0.79</v>
      </c>
      <c r="W115" s="110">
        <f t="shared" si="7"/>
        <v>3.3699999999999997</v>
      </c>
      <c r="X115" s="110">
        <v>1</v>
      </c>
      <c r="Y115" s="110">
        <v>4.2699999999999996</v>
      </c>
      <c r="Z115" s="105"/>
      <c r="AA115" s="105"/>
      <c r="AB115" s="105"/>
    </row>
    <row r="116" spans="1:29" ht="17.25">
      <c r="A116" s="105" t="s">
        <v>407</v>
      </c>
      <c r="B116" s="106" t="s">
        <v>408</v>
      </c>
      <c r="C116" s="147"/>
      <c r="D116" s="105"/>
      <c r="E116" s="105"/>
      <c r="F116" s="105"/>
      <c r="G116" s="105"/>
      <c r="H116" s="105"/>
      <c r="I116" s="105"/>
      <c r="J116" s="105"/>
      <c r="K116" s="105"/>
      <c r="L116" s="105"/>
      <c r="M116" s="105"/>
      <c r="N116" s="105"/>
      <c r="O116" s="105"/>
      <c r="P116" s="105"/>
      <c r="Q116" s="105"/>
      <c r="R116" s="105"/>
      <c r="S116" s="105"/>
      <c r="T116" s="138"/>
      <c r="U116" s="105"/>
      <c r="V116" s="105"/>
      <c r="W116" s="110"/>
      <c r="X116" s="110"/>
      <c r="Y116" s="110"/>
      <c r="Z116" s="105"/>
      <c r="AA116" s="105"/>
      <c r="AB116" s="105"/>
    </row>
    <row r="117" spans="1:29" ht="17.25">
      <c r="A117" s="105" t="s">
        <v>409</v>
      </c>
      <c r="B117" s="106" t="s">
        <v>258</v>
      </c>
      <c r="C117" s="105">
        <v>31155</v>
      </c>
      <c r="D117" s="105" t="s">
        <v>259</v>
      </c>
      <c r="E117" s="105">
        <v>100</v>
      </c>
      <c r="F117" s="105">
        <v>0.26</v>
      </c>
      <c r="G117" s="105">
        <v>40</v>
      </c>
      <c r="H117" s="105">
        <v>0</v>
      </c>
      <c r="I117" s="105">
        <v>0</v>
      </c>
      <c r="J117" s="105">
        <v>0</v>
      </c>
      <c r="K117" s="105">
        <v>1</v>
      </c>
      <c r="L117" s="105">
        <v>2.2999999999999998</v>
      </c>
      <c r="M117" s="105">
        <v>28</v>
      </c>
      <c r="N117" s="105">
        <v>20</v>
      </c>
      <c r="O117" s="105">
        <v>0.72</v>
      </c>
      <c r="P117" s="105">
        <v>8</v>
      </c>
      <c r="Q117" s="105">
        <v>0</v>
      </c>
      <c r="R117" s="110">
        <f>O117/N117*Q117</f>
        <v>0</v>
      </c>
      <c r="S117" s="110">
        <v>0.33</v>
      </c>
      <c r="T117" s="138">
        <v>0.66</v>
      </c>
      <c r="U117" s="110">
        <v>8</v>
      </c>
      <c r="V117" s="110">
        <v>0.33</v>
      </c>
      <c r="W117" s="110">
        <f t="shared" si="7"/>
        <v>0.66</v>
      </c>
      <c r="X117" s="110">
        <v>0.99</v>
      </c>
      <c r="Y117" s="110">
        <f>L117/K117*X117</f>
        <v>2.2769999999999997</v>
      </c>
      <c r="Z117" s="105"/>
      <c r="AA117" s="105"/>
      <c r="AB117" s="105"/>
    </row>
    <row r="118" spans="1:29" ht="17.25">
      <c r="A118" s="105" t="s">
        <v>410</v>
      </c>
      <c r="B118" s="106" t="s">
        <v>411</v>
      </c>
      <c r="C118" s="147"/>
      <c r="D118" s="105"/>
      <c r="E118" s="105"/>
      <c r="F118" s="105"/>
      <c r="G118" s="105"/>
      <c r="H118" s="105"/>
      <c r="I118" s="105"/>
      <c r="J118" s="105"/>
      <c r="K118" s="105"/>
      <c r="L118" s="105"/>
      <c r="M118" s="105"/>
      <c r="N118" s="105"/>
      <c r="O118" s="105"/>
      <c r="P118" s="105"/>
      <c r="Q118" s="105"/>
      <c r="R118" s="105"/>
      <c r="S118" s="105"/>
      <c r="T118" s="138"/>
      <c r="U118" s="105"/>
      <c r="V118" s="105"/>
      <c r="W118" s="110"/>
      <c r="X118" s="110"/>
      <c r="Y118" s="110"/>
      <c r="Z118" s="105"/>
      <c r="AA118" s="105"/>
      <c r="AB118" s="105"/>
    </row>
    <row r="119" spans="1:29" ht="17.25">
      <c r="A119" s="105" t="s">
        <v>412</v>
      </c>
      <c r="B119" s="106" t="s">
        <v>413</v>
      </c>
      <c r="C119" s="105">
        <v>31155</v>
      </c>
      <c r="D119" s="105" t="s">
        <v>259</v>
      </c>
      <c r="E119" s="105">
        <v>100</v>
      </c>
      <c r="F119" s="105">
        <v>0.18</v>
      </c>
      <c r="G119" s="105">
        <v>28</v>
      </c>
      <c r="H119" s="105">
        <v>90</v>
      </c>
      <c r="I119" s="105">
        <v>0.39</v>
      </c>
      <c r="J119" s="105">
        <v>15</v>
      </c>
      <c r="K119" s="105">
        <v>1</v>
      </c>
      <c r="L119" s="105">
        <v>0.86</v>
      </c>
      <c r="M119" s="105">
        <v>10.5</v>
      </c>
      <c r="N119" s="105">
        <v>4</v>
      </c>
      <c r="O119" s="105">
        <v>0.45</v>
      </c>
      <c r="P119" s="105">
        <v>5</v>
      </c>
      <c r="Q119" s="105">
        <v>4</v>
      </c>
      <c r="R119" s="110">
        <f>O119/N119*Q119</f>
        <v>0.45</v>
      </c>
      <c r="S119" s="110">
        <v>0.15</v>
      </c>
      <c r="T119" s="138">
        <v>0.12</v>
      </c>
      <c r="U119" s="110">
        <v>1.5</v>
      </c>
      <c r="V119" s="110">
        <v>0.15</v>
      </c>
      <c r="W119" s="110">
        <v>0.12</v>
      </c>
      <c r="X119" s="110">
        <v>1</v>
      </c>
      <c r="Y119" s="110">
        <v>0.86</v>
      </c>
      <c r="Z119" s="105"/>
      <c r="AA119" s="105"/>
      <c r="AB119" s="105"/>
    </row>
    <row r="120" spans="1:29" ht="17.25">
      <c r="A120" s="105" t="s">
        <v>414</v>
      </c>
      <c r="B120" s="106" t="s">
        <v>415</v>
      </c>
      <c r="C120" s="147"/>
      <c r="D120" s="105"/>
      <c r="E120" s="105"/>
      <c r="F120" s="105"/>
      <c r="G120" s="105"/>
      <c r="H120" s="105"/>
      <c r="I120" s="105"/>
      <c r="J120" s="105"/>
      <c r="K120" s="105"/>
      <c r="L120" s="105"/>
      <c r="M120" s="105"/>
      <c r="N120" s="105"/>
      <c r="O120" s="105"/>
      <c r="P120" s="105"/>
      <c r="Q120" s="105"/>
      <c r="R120" s="105"/>
      <c r="S120" s="105"/>
      <c r="T120" s="138"/>
      <c r="U120" s="105"/>
      <c r="V120" s="105"/>
      <c r="W120" s="110"/>
      <c r="X120" s="110"/>
      <c r="Y120" s="110"/>
      <c r="Z120" s="105"/>
      <c r="AA120" s="105"/>
      <c r="AB120" s="105"/>
    </row>
    <row r="121" spans="1:29" ht="17.25">
      <c r="A121" s="105" t="s">
        <v>416</v>
      </c>
      <c r="B121" s="106" t="s">
        <v>258</v>
      </c>
      <c r="C121" s="105">
        <v>31155</v>
      </c>
      <c r="D121" s="105" t="s">
        <v>259</v>
      </c>
      <c r="E121" s="105">
        <v>100</v>
      </c>
      <c r="F121" s="105">
        <v>0.16</v>
      </c>
      <c r="G121" s="105">
        <v>25</v>
      </c>
      <c r="H121" s="105">
        <v>0</v>
      </c>
      <c r="I121" s="105">
        <v>0</v>
      </c>
      <c r="J121" s="105">
        <v>0</v>
      </c>
      <c r="K121" s="105">
        <v>1</v>
      </c>
      <c r="L121" s="105">
        <v>0</v>
      </c>
      <c r="M121" s="105">
        <v>0.01</v>
      </c>
      <c r="N121" s="105">
        <v>5</v>
      </c>
      <c r="O121" s="105">
        <v>0.11</v>
      </c>
      <c r="P121" s="105">
        <v>1.25</v>
      </c>
      <c r="Q121" s="105">
        <v>0</v>
      </c>
      <c r="R121" s="110">
        <f>O121/N121*Q121</f>
        <v>0</v>
      </c>
      <c r="S121" s="110">
        <v>1</v>
      </c>
      <c r="T121" s="138">
        <v>0</v>
      </c>
      <c r="U121" s="110">
        <v>0.01</v>
      </c>
      <c r="V121" s="110">
        <v>0</v>
      </c>
      <c r="W121" s="110">
        <f t="shared" si="7"/>
        <v>0</v>
      </c>
      <c r="X121" s="110">
        <f t="shared" si="8"/>
        <v>0</v>
      </c>
      <c r="Y121" s="110">
        <f t="shared" si="8"/>
        <v>0</v>
      </c>
      <c r="Z121" s="105"/>
      <c r="AA121" s="105"/>
      <c r="AB121" s="105"/>
    </row>
    <row r="122" spans="1:29" ht="17.25">
      <c r="A122" s="105" t="s">
        <v>417</v>
      </c>
      <c r="B122" s="106" t="s">
        <v>418</v>
      </c>
      <c r="C122" s="147"/>
      <c r="D122" s="105"/>
      <c r="E122" s="105"/>
      <c r="F122" s="105"/>
      <c r="G122" s="105"/>
      <c r="H122" s="105"/>
      <c r="I122" s="105"/>
      <c r="J122" s="105"/>
      <c r="K122" s="105"/>
      <c r="L122" s="105"/>
      <c r="M122" s="105"/>
      <c r="N122" s="105"/>
      <c r="O122" s="105"/>
      <c r="P122" s="105"/>
      <c r="Q122" s="105"/>
      <c r="R122" s="105"/>
      <c r="S122" s="105"/>
      <c r="T122" s="138"/>
      <c r="U122" s="105"/>
      <c r="V122" s="105"/>
      <c r="W122" s="110"/>
      <c r="X122" s="110"/>
      <c r="Y122" s="110"/>
      <c r="Z122" s="105"/>
      <c r="AA122" s="105"/>
      <c r="AB122" s="105"/>
    </row>
    <row r="123" spans="1:29" ht="17.25">
      <c r="A123" s="105" t="s">
        <v>419</v>
      </c>
      <c r="B123" s="106" t="s">
        <v>258</v>
      </c>
      <c r="C123" s="105">
        <v>31155</v>
      </c>
      <c r="D123" s="105" t="s">
        <v>259</v>
      </c>
      <c r="E123" s="105">
        <v>100</v>
      </c>
      <c r="F123" s="105">
        <v>0.16</v>
      </c>
      <c r="G123" s="105">
        <v>25</v>
      </c>
      <c r="H123" s="105">
        <v>0</v>
      </c>
      <c r="I123" s="105">
        <v>0</v>
      </c>
      <c r="J123" s="105">
        <v>0</v>
      </c>
      <c r="K123" s="105">
        <v>1</v>
      </c>
      <c r="L123" s="105">
        <v>1.23</v>
      </c>
      <c r="M123" s="105">
        <v>15</v>
      </c>
      <c r="N123" s="105">
        <v>20</v>
      </c>
      <c r="O123" s="105">
        <v>0.45</v>
      </c>
      <c r="P123" s="105">
        <v>5</v>
      </c>
      <c r="Q123" s="105">
        <v>0</v>
      </c>
      <c r="R123" s="110">
        <f>O123/N123*Q123</f>
        <v>0</v>
      </c>
      <c r="S123" s="110">
        <v>1</v>
      </c>
      <c r="T123" s="138">
        <v>1.23</v>
      </c>
      <c r="U123" s="110">
        <v>15</v>
      </c>
      <c r="V123" s="110">
        <v>1</v>
      </c>
      <c r="W123" s="110">
        <f t="shared" si="7"/>
        <v>1.23</v>
      </c>
      <c r="X123" s="110">
        <f t="shared" si="8"/>
        <v>1</v>
      </c>
      <c r="Y123" s="110">
        <f t="shared" si="8"/>
        <v>1.23</v>
      </c>
      <c r="Z123" s="105"/>
      <c r="AA123" s="105"/>
      <c r="AB123" s="105"/>
    </row>
    <row r="124" spans="1:29" ht="17.25">
      <c r="A124" s="105" t="s">
        <v>420</v>
      </c>
      <c r="B124" s="106" t="s">
        <v>421</v>
      </c>
      <c r="C124" s="147"/>
      <c r="D124" s="105"/>
      <c r="E124" s="105"/>
      <c r="F124" s="105"/>
      <c r="G124" s="105"/>
      <c r="H124" s="105"/>
      <c r="I124" s="105"/>
      <c r="J124" s="105"/>
      <c r="K124" s="105"/>
      <c r="L124" s="105"/>
      <c r="M124" s="105"/>
      <c r="N124" s="105"/>
      <c r="O124" s="105"/>
      <c r="P124" s="105"/>
      <c r="Q124" s="105"/>
      <c r="R124" s="105"/>
      <c r="S124" s="105"/>
      <c r="T124" s="138"/>
      <c r="U124" s="105"/>
      <c r="V124" s="105"/>
      <c r="W124" s="110"/>
      <c r="X124" s="110"/>
      <c r="Y124" s="110"/>
      <c r="Z124" s="105"/>
      <c r="AA124" s="105"/>
      <c r="AB124" s="105"/>
      <c r="AC124">
        <v>22</v>
      </c>
    </row>
    <row r="125" spans="1:29" ht="17.25">
      <c r="A125" s="105" t="s">
        <v>422</v>
      </c>
      <c r="B125" s="106" t="s">
        <v>258</v>
      </c>
      <c r="C125" s="105">
        <v>31155</v>
      </c>
      <c r="D125" s="105" t="s">
        <v>259</v>
      </c>
      <c r="E125" s="105">
        <v>100</v>
      </c>
      <c r="F125" s="105">
        <v>0.78</v>
      </c>
      <c r="G125" s="105">
        <v>120</v>
      </c>
      <c r="H125" s="105">
        <v>0</v>
      </c>
      <c r="I125" s="105">
        <v>0</v>
      </c>
      <c r="J125" s="105">
        <v>0</v>
      </c>
      <c r="K125" s="105">
        <v>1</v>
      </c>
      <c r="L125" s="105">
        <v>0</v>
      </c>
      <c r="M125" s="105">
        <v>0.01</v>
      </c>
      <c r="N125" s="105">
        <v>3</v>
      </c>
      <c r="O125" s="105">
        <v>0.32</v>
      </c>
      <c r="P125" s="105">
        <v>3.6</v>
      </c>
      <c r="Q125" s="105">
        <v>0</v>
      </c>
      <c r="R125" s="110">
        <f>O125/N125*Q125</f>
        <v>0</v>
      </c>
      <c r="S125" s="110">
        <v>1</v>
      </c>
      <c r="T125" s="138">
        <v>0</v>
      </c>
      <c r="U125" s="110">
        <v>0.01</v>
      </c>
      <c r="V125" s="110">
        <v>0</v>
      </c>
      <c r="W125" s="110">
        <f t="shared" si="7"/>
        <v>0</v>
      </c>
      <c r="X125" s="110">
        <f t="shared" si="8"/>
        <v>0</v>
      </c>
      <c r="Y125" s="110">
        <f t="shared" si="8"/>
        <v>0</v>
      </c>
      <c r="Z125" s="105"/>
      <c r="AA125" s="105"/>
      <c r="AB125" s="105"/>
    </row>
    <row r="126" spans="1:29" ht="18">
      <c r="A126" s="105" t="s">
        <v>423</v>
      </c>
      <c r="B126" s="106" t="s">
        <v>424</v>
      </c>
      <c r="C126" s="147"/>
      <c r="D126" s="105"/>
      <c r="E126" s="105"/>
      <c r="F126" s="105"/>
      <c r="G126" s="105"/>
      <c r="H126" s="105"/>
      <c r="I126" s="105"/>
      <c r="J126" s="105"/>
      <c r="K126" s="105"/>
      <c r="L126" s="105"/>
      <c r="M126" s="105"/>
      <c r="N126" s="105"/>
      <c r="O126" s="105"/>
      <c r="P126" s="105"/>
      <c r="Q126" s="105"/>
      <c r="R126" s="105"/>
      <c r="S126" s="105"/>
      <c r="T126" s="148"/>
      <c r="U126" s="105"/>
      <c r="V126" s="105"/>
      <c r="W126" s="110"/>
      <c r="X126" s="110"/>
      <c r="Y126" s="110"/>
      <c r="Z126" s="105"/>
      <c r="AA126" s="105"/>
      <c r="AB126" s="105"/>
    </row>
    <row r="127" spans="1:29" ht="14.25">
      <c r="A127" s="105" t="s">
        <v>425</v>
      </c>
      <c r="B127" s="106" t="s">
        <v>258</v>
      </c>
      <c r="C127" s="105">
        <v>31155</v>
      </c>
      <c r="D127" s="105" t="s">
        <v>259</v>
      </c>
      <c r="E127" s="105">
        <v>100</v>
      </c>
      <c r="F127" s="105">
        <v>0.26</v>
      </c>
      <c r="G127" s="105">
        <v>40</v>
      </c>
      <c r="H127" s="105">
        <v>0</v>
      </c>
      <c r="I127" s="105">
        <v>0</v>
      </c>
      <c r="J127" s="105">
        <v>0</v>
      </c>
      <c r="K127" s="105">
        <v>1</v>
      </c>
      <c r="L127" s="105">
        <v>0</v>
      </c>
      <c r="M127" s="105">
        <v>0.01</v>
      </c>
      <c r="N127" s="105">
        <v>5</v>
      </c>
      <c r="O127" s="105">
        <v>0.18</v>
      </c>
      <c r="P127" s="105">
        <v>2</v>
      </c>
      <c r="Q127" s="105">
        <v>0</v>
      </c>
      <c r="R127" s="110">
        <f>O127/N127*Q127</f>
        <v>0</v>
      </c>
      <c r="S127" s="110">
        <v>1</v>
      </c>
      <c r="T127" s="139">
        <v>0</v>
      </c>
      <c r="U127" s="110">
        <v>0.01</v>
      </c>
      <c r="V127" s="110">
        <v>0</v>
      </c>
      <c r="W127" s="110">
        <f t="shared" si="7"/>
        <v>0</v>
      </c>
      <c r="X127" s="110">
        <f t="shared" si="8"/>
        <v>0</v>
      </c>
      <c r="Y127" s="110">
        <f t="shared" si="8"/>
        <v>0</v>
      </c>
      <c r="Z127" s="105"/>
      <c r="AA127" s="105"/>
      <c r="AB127" s="105"/>
    </row>
    <row r="128" spans="1:29" ht="14.25">
      <c r="A128" s="105" t="s">
        <v>426</v>
      </c>
      <c r="B128" s="106" t="s">
        <v>427</v>
      </c>
      <c r="C128" s="147"/>
      <c r="D128" s="105"/>
      <c r="E128" s="105"/>
      <c r="F128" s="105"/>
      <c r="G128" s="105"/>
      <c r="H128" s="105"/>
      <c r="I128" s="105"/>
      <c r="J128" s="105"/>
      <c r="K128" s="105"/>
      <c r="L128" s="105"/>
      <c r="M128" s="105"/>
      <c r="N128" s="105"/>
      <c r="O128" s="105"/>
      <c r="P128" s="105"/>
      <c r="Q128" s="105"/>
      <c r="R128" s="105"/>
      <c r="S128" s="105"/>
      <c r="T128" s="149"/>
      <c r="U128" s="105"/>
      <c r="V128" s="105"/>
      <c r="W128" s="110"/>
      <c r="X128" s="110"/>
      <c r="Y128" s="110"/>
      <c r="Z128" s="105"/>
      <c r="AA128" s="105"/>
      <c r="AB128" s="105"/>
    </row>
    <row r="129" spans="1:28" ht="14.25">
      <c r="A129" s="105" t="s">
        <v>428</v>
      </c>
      <c r="B129" s="106" t="s">
        <v>258</v>
      </c>
      <c r="C129" s="105">
        <v>31155</v>
      </c>
      <c r="D129" s="105" t="s">
        <v>259</v>
      </c>
      <c r="E129" s="105">
        <v>100</v>
      </c>
      <c r="F129" s="105">
        <v>0.65</v>
      </c>
      <c r="G129" s="105">
        <v>100</v>
      </c>
      <c r="H129" s="105">
        <v>0</v>
      </c>
      <c r="I129" s="105">
        <v>0</v>
      </c>
      <c r="J129" s="105">
        <v>0</v>
      </c>
      <c r="K129" s="105">
        <v>1</v>
      </c>
      <c r="L129" s="105">
        <v>0.16</v>
      </c>
      <c r="M129" s="105">
        <v>2</v>
      </c>
      <c r="N129" s="105">
        <v>3</v>
      </c>
      <c r="O129" s="105">
        <v>0.27</v>
      </c>
      <c r="P129" s="105">
        <v>3</v>
      </c>
      <c r="Q129" s="105">
        <v>0</v>
      </c>
      <c r="R129" s="110">
        <f>O129/N129*Q129</f>
        <v>0</v>
      </c>
      <c r="S129" s="110">
        <v>1</v>
      </c>
      <c r="T129" s="139">
        <v>0.16</v>
      </c>
      <c r="U129" s="110">
        <v>2</v>
      </c>
      <c r="V129" s="110">
        <v>0</v>
      </c>
      <c r="W129" s="110">
        <v>0</v>
      </c>
      <c r="X129" s="110">
        <f t="shared" si="8"/>
        <v>0</v>
      </c>
      <c r="Y129" s="110">
        <f t="shared" si="8"/>
        <v>0</v>
      </c>
      <c r="Z129" s="105"/>
      <c r="AA129" s="105"/>
      <c r="AB129" s="105"/>
    </row>
    <row r="130" spans="1:28" ht="14.25">
      <c r="A130" s="105" t="s">
        <v>429</v>
      </c>
      <c r="B130" s="106" t="s">
        <v>430</v>
      </c>
      <c r="C130" s="147"/>
      <c r="D130" s="105"/>
      <c r="E130" s="105"/>
      <c r="F130" s="105"/>
      <c r="G130" s="105"/>
      <c r="H130" s="105"/>
      <c r="I130" s="105"/>
      <c r="J130" s="105"/>
      <c r="K130" s="105"/>
      <c r="L130" s="105"/>
      <c r="M130" s="105"/>
      <c r="N130" s="105"/>
      <c r="O130" s="105"/>
      <c r="P130" s="105"/>
      <c r="Q130" s="105"/>
      <c r="R130" s="105"/>
      <c r="S130" s="105"/>
      <c r="T130" s="149"/>
      <c r="U130" s="105"/>
      <c r="V130" s="105"/>
      <c r="W130" s="110"/>
      <c r="X130" s="110"/>
      <c r="Y130" s="110"/>
      <c r="Z130" s="105"/>
      <c r="AA130" s="105"/>
      <c r="AB130" s="105"/>
    </row>
    <row r="131" spans="1:28" ht="14.25">
      <c r="A131" s="105" t="s">
        <v>431</v>
      </c>
      <c r="B131" s="106" t="s">
        <v>258</v>
      </c>
      <c r="C131" s="105">
        <v>31155</v>
      </c>
      <c r="D131" s="105" t="s">
        <v>259</v>
      </c>
      <c r="E131" s="105">
        <v>100</v>
      </c>
      <c r="F131" s="105">
        <v>0.78</v>
      </c>
      <c r="G131" s="105">
        <v>120</v>
      </c>
      <c r="H131" s="105">
        <v>0</v>
      </c>
      <c r="I131" s="105">
        <v>0</v>
      </c>
      <c r="J131" s="105">
        <v>0</v>
      </c>
      <c r="K131" s="105">
        <v>1</v>
      </c>
      <c r="L131" s="105">
        <v>0.49</v>
      </c>
      <c r="M131" s="105">
        <v>6</v>
      </c>
      <c r="N131" s="105">
        <v>1</v>
      </c>
      <c r="O131" s="105">
        <v>0.11</v>
      </c>
      <c r="P131" s="105">
        <v>1.2</v>
      </c>
      <c r="Q131" s="105">
        <v>0</v>
      </c>
      <c r="R131" s="110">
        <f>O131/N131*Q131</f>
        <v>0</v>
      </c>
      <c r="S131" s="110">
        <v>0.4</v>
      </c>
      <c r="T131" s="139">
        <v>0.2</v>
      </c>
      <c r="U131" s="110">
        <v>2.4</v>
      </c>
      <c r="V131" s="110">
        <v>0</v>
      </c>
      <c r="W131" s="110">
        <v>0</v>
      </c>
      <c r="X131" s="110">
        <f t="shared" si="8"/>
        <v>0</v>
      </c>
      <c r="Y131" s="110">
        <f t="shared" si="8"/>
        <v>0</v>
      </c>
      <c r="Z131" s="105"/>
      <c r="AA131" s="105"/>
      <c r="AB131" s="105"/>
    </row>
    <row r="132" spans="1:28" ht="14.25">
      <c r="A132" s="105" t="s">
        <v>432</v>
      </c>
      <c r="B132" s="106" t="s">
        <v>433</v>
      </c>
      <c r="C132" s="147"/>
      <c r="D132" s="105"/>
      <c r="E132" s="105"/>
      <c r="F132" s="105"/>
      <c r="G132" s="105"/>
      <c r="H132" s="105"/>
      <c r="I132" s="105"/>
      <c r="J132" s="105"/>
      <c r="K132" s="105"/>
      <c r="L132" s="105"/>
      <c r="M132" s="105"/>
      <c r="N132" s="105"/>
      <c r="O132" s="105"/>
      <c r="P132" s="105"/>
      <c r="Q132" s="105"/>
      <c r="R132" s="105"/>
      <c r="S132" s="105"/>
      <c r="T132" s="149"/>
      <c r="U132" s="105"/>
      <c r="V132" s="105"/>
      <c r="W132" s="110"/>
      <c r="X132" s="110"/>
      <c r="Y132" s="110"/>
      <c r="Z132" s="105"/>
      <c r="AA132" s="105"/>
      <c r="AB132" s="105"/>
    </row>
    <row r="133" spans="1:28" ht="14.25">
      <c r="A133" s="105" t="s">
        <v>434</v>
      </c>
      <c r="B133" s="106" t="s">
        <v>258</v>
      </c>
      <c r="C133" s="105">
        <v>31155</v>
      </c>
      <c r="D133" s="105" t="s">
        <v>259</v>
      </c>
      <c r="E133" s="105">
        <v>100</v>
      </c>
      <c r="F133" s="105">
        <v>0.78</v>
      </c>
      <c r="G133" s="105">
        <v>120</v>
      </c>
      <c r="H133" s="105">
        <v>0</v>
      </c>
      <c r="I133" s="105">
        <v>0</v>
      </c>
      <c r="J133" s="105">
        <v>0</v>
      </c>
      <c r="K133" s="105">
        <v>1</v>
      </c>
      <c r="L133" s="105">
        <v>0</v>
      </c>
      <c r="M133" s="105">
        <v>0.01</v>
      </c>
      <c r="N133" s="105">
        <v>1</v>
      </c>
      <c r="O133" s="105">
        <v>0.11</v>
      </c>
      <c r="P133" s="105">
        <v>1.2</v>
      </c>
      <c r="Q133" s="105">
        <v>0</v>
      </c>
      <c r="R133" s="110">
        <f>O133/N133*Q133</f>
        <v>0</v>
      </c>
      <c r="S133" s="110">
        <v>1</v>
      </c>
      <c r="T133" s="139">
        <v>0</v>
      </c>
      <c r="U133" s="110">
        <v>0.01</v>
      </c>
      <c r="V133" s="110">
        <v>0</v>
      </c>
      <c r="W133" s="110">
        <f t="shared" si="7"/>
        <v>0</v>
      </c>
      <c r="X133" s="110">
        <f t="shared" si="8"/>
        <v>0</v>
      </c>
      <c r="Y133" s="110">
        <f t="shared" si="8"/>
        <v>0</v>
      </c>
      <c r="Z133" s="105"/>
      <c r="AA133" s="105"/>
      <c r="AB133" s="105"/>
    </row>
    <row r="134" spans="1:28" ht="14.25">
      <c r="A134" s="105" t="s">
        <v>435</v>
      </c>
      <c r="B134" s="150" t="s">
        <v>436</v>
      </c>
      <c r="C134" s="151"/>
      <c r="D134" s="152"/>
      <c r="E134" s="152"/>
      <c r="F134" s="152"/>
      <c r="G134" s="152"/>
      <c r="H134" s="152"/>
      <c r="I134" s="152"/>
      <c r="J134" s="152"/>
      <c r="K134" s="152"/>
      <c r="L134" s="152"/>
      <c r="M134" s="152"/>
      <c r="N134" s="152"/>
      <c r="O134" s="152"/>
      <c r="P134" s="152"/>
      <c r="Q134" s="152"/>
      <c r="R134" s="152"/>
      <c r="S134" s="152"/>
      <c r="T134" s="153"/>
      <c r="U134" s="152"/>
      <c r="V134" s="152"/>
      <c r="W134" s="154"/>
      <c r="X134" s="154"/>
      <c r="Y134" s="154"/>
      <c r="Z134" s="152"/>
      <c r="AA134" s="152"/>
      <c r="AB134" s="152"/>
    </row>
    <row r="135" spans="1:28" s="104" customFormat="1" ht="14.25">
      <c r="A135" s="105" t="s">
        <v>437</v>
      </c>
      <c r="B135" s="106" t="s">
        <v>258</v>
      </c>
      <c r="C135" s="105">
        <v>31155</v>
      </c>
      <c r="D135" s="105" t="s">
        <v>259</v>
      </c>
      <c r="E135" s="105">
        <v>100</v>
      </c>
      <c r="F135" s="105">
        <v>0.78</v>
      </c>
      <c r="G135" s="105">
        <v>120</v>
      </c>
      <c r="H135" s="105">
        <v>0</v>
      </c>
      <c r="I135" s="105">
        <v>0</v>
      </c>
      <c r="J135" s="105">
        <v>0</v>
      </c>
      <c r="K135" s="105">
        <v>1</v>
      </c>
      <c r="L135" s="105">
        <v>0</v>
      </c>
      <c r="M135" s="105">
        <v>0.01</v>
      </c>
      <c r="N135" s="105">
        <v>2</v>
      </c>
      <c r="O135" s="105">
        <v>0.22</v>
      </c>
      <c r="P135" s="105">
        <v>2.4</v>
      </c>
      <c r="Q135" s="105">
        <v>0</v>
      </c>
      <c r="R135" s="110">
        <f>O135/N135*Q135</f>
        <v>0</v>
      </c>
      <c r="S135" s="110">
        <v>1</v>
      </c>
      <c r="T135" s="139">
        <v>0</v>
      </c>
      <c r="U135" s="110">
        <v>0.01</v>
      </c>
      <c r="V135" s="110">
        <v>0</v>
      </c>
      <c r="W135" s="110">
        <f t="shared" si="7"/>
        <v>0</v>
      </c>
      <c r="X135" s="110">
        <f t="shared" si="8"/>
        <v>0</v>
      </c>
      <c r="Y135" s="110">
        <f t="shared" si="8"/>
        <v>0</v>
      </c>
      <c r="Z135" s="105"/>
      <c r="AA135" s="105"/>
      <c r="AB135" s="105"/>
    </row>
    <row r="136" spans="1:28" s="104" customFormat="1" ht="14.25">
      <c r="A136" s="105" t="s">
        <v>438</v>
      </c>
      <c r="B136" s="106" t="s">
        <v>439</v>
      </c>
      <c r="C136" s="147"/>
      <c r="D136" s="105"/>
      <c r="E136" s="105"/>
      <c r="F136" s="105"/>
      <c r="G136" s="105"/>
      <c r="H136" s="105"/>
      <c r="I136" s="105"/>
      <c r="J136" s="105"/>
      <c r="K136" s="105"/>
      <c r="L136" s="105"/>
      <c r="M136" s="105"/>
      <c r="N136" s="105"/>
      <c r="O136" s="105"/>
      <c r="P136" s="105"/>
      <c r="Q136" s="105"/>
      <c r="R136" s="105"/>
      <c r="S136" s="105"/>
      <c r="T136" s="149"/>
      <c r="U136" s="105"/>
      <c r="V136" s="105"/>
      <c r="W136" s="110"/>
      <c r="X136" s="110"/>
      <c r="Y136" s="110"/>
      <c r="Z136" s="105"/>
      <c r="AA136" s="105"/>
      <c r="AB136" s="105"/>
    </row>
    <row r="137" spans="1:28" s="104" customFormat="1" ht="14.25">
      <c r="A137" s="105" t="s">
        <v>440</v>
      </c>
      <c r="B137" s="106" t="s">
        <v>258</v>
      </c>
      <c r="C137" s="105">
        <v>31155</v>
      </c>
      <c r="D137" s="105" t="s">
        <v>259</v>
      </c>
      <c r="E137" s="105">
        <v>100</v>
      </c>
      <c r="F137" s="105">
        <v>0.65</v>
      </c>
      <c r="G137" s="105">
        <v>100</v>
      </c>
      <c r="H137" s="105">
        <v>0</v>
      </c>
      <c r="I137" s="105">
        <v>0</v>
      </c>
      <c r="J137" s="105">
        <v>0</v>
      </c>
      <c r="K137" s="105">
        <v>1</v>
      </c>
      <c r="L137" s="105">
        <v>0</v>
      </c>
      <c r="M137" s="105">
        <v>0.01</v>
      </c>
      <c r="N137" s="105">
        <v>2</v>
      </c>
      <c r="O137" s="105">
        <v>0.18</v>
      </c>
      <c r="P137" s="105">
        <v>2</v>
      </c>
      <c r="Q137" s="105">
        <v>0</v>
      </c>
      <c r="R137" s="110">
        <f>O137/N137*Q137</f>
        <v>0</v>
      </c>
      <c r="S137" s="110">
        <v>1</v>
      </c>
      <c r="T137" s="139">
        <v>0</v>
      </c>
      <c r="U137" s="110">
        <v>0.01</v>
      </c>
      <c r="V137" s="110">
        <v>0</v>
      </c>
      <c r="W137" s="110">
        <f t="shared" si="7"/>
        <v>0</v>
      </c>
      <c r="X137" s="110">
        <f t="shared" si="8"/>
        <v>0</v>
      </c>
      <c r="Y137" s="110">
        <f t="shared" si="8"/>
        <v>0</v>
      </c>
      <c r="Z137" s="105"/>
      <c r="AA137" s="105"/>
      <c r="AB137" s="105"/>
    </row>
    <row r="138" spans="1:28" s="104" customFormat="1" ht="14.25">
      <c r="A138" s="105" t="s">
        <v>441</v>
      </c>
      <c r="B138" s="106" t="s">
        <v>442</v>
      </c>
      <c r="C138" s="147"/>
      <c r="D138" s="105"/>
      <c r="E138" s="105"/>
      <c r="F138" s="105"/>
      <c r="G138" s="105"/>
      <c r="H138" s="105"/>
      <c r="I138" s="105"/>
      <c r="J138" s="105"/>
      <c r="K138" s="105"/>
      <c r="L138" s="105"/>
      <c r="M138" s="105"/>
      <c r="N138" s="105"/>
      <c r="O138" s="105"/>
      <c r="P138" s="105"/>
      <c r="Q138" s="105"/>
      <c r="R138" s="105"/>
      <c r="S138" s="105"/>
      <c r="T138" s="149"/>
      <c r="U138" s="105"/>
      <c r="V138" s="105"/>
      <c r="W138" s="110"/>
      <c r="X138" s="110"/>
      <c r="Y138" s="110"/>
      <c r="Z138" s="105"/>
      <c r="AA138" s="105"/>
      <c r="AB138" s="105"/>
    </row>
    <row r="139" spans="1:28" s="104" customFormat="1" ht="14.25">
      <c r="A139" s="105" t="s">
        <v>443</v>
      </c>
      <c r="B139" s="106" t="s">
        <v>258</v>
      </c>
      <c r="C139" s="105">
        <v>31155</v>
      </c>
      <c r="D139" s="105" t="s">
        <v>259</v>
      </c>
      <c r="E139" s="105">
        <v>100</v>
      </c>
      <c r="F139" s="105">
        <v>0.65</v>
      </c>
      <c r="G139" s="105">
        <v>100</v>
      </c>
      <c r="H139" s="105">
        <v>0</v>
      </c>
      <c r="I139" s="105">
        <v>0</v>
      </c>
      <c r="J139" s="105">
        <v>0</v>
      </c>
      <c r="K139" s="105">
        <v>1</v>
      </c>
      <c r="L139" s="105">
        <v>0</v>
      </c>
      <c r="M139" s="105">
        <v>0.01</v>
      </c>
      <c r="N139" s="105">
        <v>1</v>
      </c>
      <c r="O139" s="105">
        <v>0.09</v>
      </c>
      <c r="P139" s="105">
        <v>1</v>
      </c>
      <c r="Q139" s="105">
        <v>0</v>
      </c>
      <c r="R139" s="110">
        <f>O139/N139*Q139</f>
        <v>0</v>
      </c>
      <c r="S139" s="110">
        <v>1</v>
      </c>
      <c r="T139" s="139">
        <v>0</v>
      </c>
      <c r="U139" s="110">
        <v>0.01</v>
      </c>
      <c r="V139" s="110">
        <v>0</v>
      </c>
      <c r="W139" s="110">
        <f t="shared" si="7"/>
        <v>0</v>
      </c>
      <c r="X139" s="110">
        <f t="shared" si="8"/>
        <v>0</v>
      </c>
      <c r="Y139" s="110">
        <f t="shared" si="8"/>
        <v>0</v>
      </c>
      <c r="Z139" s="105"/>
      <c r="AA139" s="105"/>
      <c r="AB139" s="105"/>
    </row>
    <row r="140" spans="1:28" s="104" customFormat="1" ht="14.25">
      <c r="A140" s="105" t="s">
        <v>444</v>
      </c>
      <c r="B140" s="106" t="s">
        <v>445</v>
      </c>
      <c r="C140" s="147"/>
      <c r="D140" s="105"/>
      <c r="E140" s="105"/>
      <c r="F140" s="105"/>
      <c r="G140" s="105"/>
      <c r="H140" s="105"/>
      <c r="I140" s="105"/>
      <c r="J140" s="105"/>
      <c r="K140" s="105"/>
      <c r="L140" s="105"/>
      <c r="M140" s="105"/>
      <c r="N140" s="105"/>
      <c r="O140" s="105"/>
      <c r="P140" s="105"/>
      <c r="Q140" s="105"/>
      <c r="R140" s="105"/>
      <c r="S140" s="105"/>
      <c r="T140" s="149"/>
      <c r="U140" s="105"/>
      <c r="V140" s="105"/>
      <c r="W140" s="110"/>
      <c r="X140" s="110"/>
      <c r="Y140" s="110"/>
      <c r="Z140" s="105"/>
      <c r="AA140" s="105"/>
      <c r="AB140" s="105"/>
    </row>
    <row r="141" spans="1:28" s="104" customFormat="1" ht="14.25">
      <c r="A141" s="105" t="s">
        <v>446</v>
      </c>
      <c r="B141" s="106" t="s">
        <v>258</v>
      </c>
      <c r="C141" s="105">
        <v>31155</v>
      </c>
      <c r="D141" s="105" t="s">
        <v>259</v>
      </c>
      <c r="E141" s="105">
        <v>100</v>
      </c>
      <c r="F141" s="105">
        <v>1.94</v>
      </c>
      <c r="G141" s="105">
        <v>300</v>
      </c>
      <c r="H141" s="105">
        <v>0</v>
      </c>
      <c r="I141" s="105">
        <v>0</v>
      </c>
      <c r="J141" s="105">
        <v>0</v>
      </c>
      <c r="K141" s="105">
        <v>1</v>
      </c>
      <c r="L141" s="105">
        <v>0.16</v>
      </c>
      <c r="M141" s="105">
        <v>2</v>
      </c>
      <c r="N141" s="105">
        <v>6</v>
      </c>
      <c r="O141" s="105">
        <v>0.16</v>
      </c>
      <c r="P141" s="105">
        <v>1.8</v>
      </c>
      <c r="Q141" s="105">
        <v>0.5</v>
      </c>
      <c r="R141" s="110">
        <f>O141/N141*Q141</f>
        <v>1.3333333333333334E-2</v>
      </c>
      <c r="S141" s="110">
        <v>1</v>
      </c>
      <c r="T141" s="139">
        <v>0.16</v>
      </c>
      <c r="U141" s="110">
        <v>2</v>
      </c>
      <c r="V141" s="110">
        <v>0</v>
      </c>
      <c r="W141" s="110">
        <v>0</v>
      </c>
      <c r="X141" s="110">
        <v>0</v>
      </c>
      <c r="Y141" s="110">
        <v>0</v>
      </c>
      <c r="Z141" s="105"/>
      <c r="AA141" s="105"/>
      <c r="AB141" s="105"/>
    </row>
    <row r="142" spans="1:28" s="104" customFormat="1" ht="17.25">
      <c r="A142" s="105" t="s">
        <v>447</v>
      </c>
      <c r="B142" s="155" t="s">
        <v>448</v>
      </c>
      <c r="C142" s="156"/>
      <c r="D142" s="157"/>
      <c r="E142" s="158"/>
      <c r="F142" s="158"/>
      <c r="G142" s="158"/>
      <c r="H142" s="158"/>
      <c r="I142" s="158"/>
      <c r="J142" s="158"/>
      <c r="K142" s="158"/>
      <c r="L142" s="158"/>
      <c r="M142" s="158"/>
      <c r="N142" s="158"/>
      <c r="O142" s="158"/>
      <c r="P142" s="158"/>
      <c r="Q142" s="158"/>
      <c r="R142" s="158"/>
      <c r="S142" s="158"/>
      <c r="T142" s="159"/>
      <c r="U142" s="158"/>
      <c r="V142" s="158"/>
      <c r="W142" s="112"/>
      <c r="X142" s="112"/>
      <c r="Y142" s="112"/>
      <c r="Z142" s="158"/>
      <c r="AA142" s="158"/>
      <c r="AB142" s="158"/>
    </row>
    <row r="143" spans="1:28" s="104" customFormat="1" ht="17.25">
      <c r="A143" s="105" t="s">
        <v>449</v>
      </c>
      <c r="B143" s="106" t="s">
        <v>258</v>
      </c>
      <c r="C143" s="105">
        <v>31155</v>
      </c>
      <c r="D143" s="105" t="s">
        <v>259</v>
      </c>
      <c r="E143" s="105">
        <v>100</v>
      </c>
      <c r="F143" s="105">
        <v>0.19</v>
      </c>
      <c r="G143" s="105">
        <v>30</v>
      </c>
      <c r="H143" s="105">
        <v>0</v>
      </c>
      <c r="I143" s="105">
        <v>0</v>
      </c>
      <c r="J143" s="105">
        <v>0</v>
      </c>
      <c r="K143" s="105">
        <v>1</v>
      </c>
      <c r="L143" s="105">
        <v>0</v>
      </c>
      <c r="M143" s="105">
        <v>0.01</v>
      </c>
      <c r="N143" s="105">
        <v>6</v>
      </c>
      <c r="O143" s="105">
        <v>0.16</v>
      </c>
      <c r="P143" s="105">
        <v>1.8</v>
      </c>
      <c r="Q143" s="105">
        <v>0</v>
      </c>
      <c r="R143" s="110">
        <f>O143/N143*Q143</f>
        <v>0</v>
      </c>
      <c r="S143" s="110">
        <v>1</v>
      </c>
      <c r="T143" s="109">
        <v>0</v>
      </c>
      <c r="U143" s="110">
        <v>0.01</v>
      </c>
      <c r="V143" s="110">
        <v>0</v>
      </c>
      <c r="W143" s="110">
        <f>T143/S143*V143</f>
        <v>0</v>
      </c>
      <c r="X143" s="110">
        <f>V143+Q143</f>
        <v>0</v>
      </c>
      <c r="Y143" s="110">
        <f>W143+R143</f>
        <v>0</v>
      </c>
      <c r="Z143" s="105"/>
      <c r="AA143" s="105"/>
      <c r="AB143" s="105"/>
    </row>
    <row r="144" spans="1:28" s="104" customFormat="1" ht="14.25">
      <c r="A144" s="118" t="s">
        <v>450</v>
      </c>
      <c r="B144" s="128" t="s">
        <v>451</v>
      </c>
      <c r="C144" s="118">
        <v>31155</v>
      </c>
      <c r="D144" s="118" t="s">
        <v>259</v>
      </c>
      <c r="E144" s="118">
        <v>100</v>
      </c>
      <c r="F144" s="118">
        <v>0.19</v>
      </c>
      <c r="G144" s="118">
        <v>30</v>
      </c>
      <c r="H144" s="118">
        <v>0</v>
      </c>
      <c r="I144" s="118">
        <v>0</v>
      </c>
      <c r="J144" s="118">
        <v>0</v>
      </c>
      <c r="K144" s="118">
        <v>1</v>
      </c>
      <c r="L144" s="118">
        <v>0</v>
      </c>
      <c r="M144" s="118">
        <v>0.01</v>
      </c>
      <c r="N144" s="118">
        <v>1</v>
      </c>
      <c r="O144" s="118">
        <v>0.01</v>
      </c>
      <c r="P144" s="118">
        <v>0.1</v>
      </c>
      <c r="Q144" s="118">
        <v>0</v>
      </c>
      <c r="R144" s="131">
        <f>O144/N144*Q144</f>
        <v>0</v>
      </c>
      <c r="S144" s="131">
        <v>1</v>
      </c>
      <c r="T144" s="140">
        <v>0</v>
      </c>
      <c r="U144" s="131">
        <v>0.01</v>
      </c>
      <c r="V144" s="131">
        <v>0</v>
      </c>
      <c r="W144" s="131">
        <f t="shared" si="7"/>
        <v>0</v>
      </c>
      <c r="X144" s="131">
        <f t="shared" si="8"/>
        <v>0</v>
      </c>
      <c r="Y144" s="131">
        <f t="shared" si="8"/>
        <v>0</v>
      </c>
      <c r="Z144" s="118"/>
      <c r="AA144" s="118"/>
      <c r="AB144" s="118"/>
    </row>
    <row r="145" spans="1:28" ht="15">
      <c r="A145" s="160" t="s">
        <v>452</v>
      </c>
      <c r="B145" s="161" t="s">
        <v>453</v>
      </c>
      <c r="C145" s="162"/>
      <c r="D145" s="162"/>
      <c r="E145" s="160"/>
      <c r="F145" s="163">
        <f>F110+F144+F108+F141+F139+F137+F135+F133+F131+F129+F127+F125+F123+F121+F119+F117+F115+F113+F109+F107+F106+F105+F104+F103+F102+F101+F100+F99+F98+F97+F96+F95+F94+F93+F92+F91+F90+F89+F88+F87+F86+F85+F84+F83+F82+F81+F80+F79+F78+F77+F76+F75+F74+F73+F72+F71+F70+F69+F68+F67+F66+F65+F64+F63+F62+F61+F60+F59+F58+F57+F56+F55+F54+F53+F52+F51+F50+F49+F48+F47+F46+F45+F44+F43+F41+F143+F38+F37+F36+F35+F34+F33+F32+F31+F30+F29+F28+F23+F22+F21</f>
        <v>100.14999999999993</v>
      </c>
      <c r="G145" s="163">
        <f>G110+G144+G108+G141+G139+G137+G135+G133+G131+G129+G127+G125+G123+G121+G119+G117+G115+G113+G109+G107+G106+G105+G104+G103+G102+G101+G100+G99+G98+G97+G96+G95+G94+G93+G92+G91+G90+G89+G88+G87+G86+G85+G84+G83+G82+G81+G80+G79+G78+G77+G76+G75+G74+G73+G72+G71+G70+G69+G68+G67+G66+G65+G64+G63+G62+G61+G60+G59+G58+G57+G56+G55+G54+G53+G52+G51+G50+G49+G48+G47+G46+G45+G44+G43+G41+G143+G38+G37+G36+G35+G34+G33+G32+G31+G30+G29+G28+G23+G22+G21</f>
        <v>15465.88</v>
      </c>
      <c r="H145" s="164">
        <f>SUM(H22:H22)</f>
        <v>0</v>
      </c>
      <c r="I145" s="163">
        <f>I110+I144+I108+I141+I139+I137+I135+I133+I131+I129+I127+I125+I123+I121+I119+I117+I115+I113+I109+I107+I106+I105+I104+I103+I102+I101+I100+I99+I98+I97+I96+I95+I94+I93+I92+I91+I90+I89+I88+I87+I86+I85+I84+I83+I82+I81+I80+I79+I78+I77+I76+I75+I74+I73+I72+I71+I70+I69+I68+I67+I66+I65+I64+I63+I62+I61+I60+I59+I58+I57+I56+I55+I54+I53+I52+I51+I50+I49+I48+I47+I46+I45+I44+I43+I41+I143+I38+I37+I36+I35+I34+I33+I32+I31+I30+I29+I28+I23+I22+I21</f>
        <v>99.99</v>
      </c>
      <c r="J145" s="163">
        <f>J110+J144+J108+J141+J139+J137+J135+J133+J131+J129+J127+J125+J123+J121+J119+J117+J115+J113+J109+J107+J106+J105+J104+J103+J102+J101+J100+J99+J98+J97+J96+J95+J94+J93+J92+J91+J90+J89+J88+J87+J86+J85+J84+J83+J82+J81+J80+J79+J78+J77+J76+J75+J74+J73+J72+J71+J70+J69+J68+J67+J66+J65+J64+J63+J62+J61+J60+J59+J58+J57+J56+J55+J54+J53+J52+J51+J50+J49+J48+J47+J46+J45+J44+J43+J41+J143+J38+J37+J36+J35+J34+J33+J32+J31+J30+J29+J28+J23+J22+J21</f>
        <v>3835.43</v>
      </c>
      <c r="K145" s="164"/>
      <c r="L145" s="163">
        <f>SUM(L21:L144)</f>
        <v>93.709999999999965</v>
      </c>
      <c r="M145" s="163">
        <f>M111+M39+M27+M20</f>
        <v>1139.9999999999995</v>
      </c>
      <c r="N145" s="164"/>
      <c r="O145" s="163">
        <f>O110+O144+O108+O141+O139+O137+O135+O133+O131+O129+O127+O125+O123+O121+O119+O117+O115+O113+O109+O107+O106+O105+O104+O103+O102+O101+O100+O99+O98+O97+O96+O95+O94+O93+O92+O91+O90+O89+O88+O87+O86+O85+O84+O83+O82+O81+O80+O79+O78+O77+O76+O75+O74+O73+O72+O71+O70+O69+O68+O67+O66+O65+O64+O63+O62+O61+O60+O59+O58+O57+O56+O55+O54+O53+O52+O51+O50+O49+O48+O47+O46+O45+O44+O43+O41+O143+O38+O37+O36+O35+O34+O33+O32+O31+O30+O29+O28+O23+O22+O21</f>
        <v>32.755333333333326</v>
      </c>
      <c r="P145" s="163">
        <f>P110+P144+P108+P141+P139+P137+P135+P133+P131+P129+P127+P125+P123+P121+P119+P117+P115+P113+P109+P107+P106+P105+P104+P103+P102+P101+P100+P99+P98+P97+P96+P95+P94+P93+P92+P91+P90+P89+P88+P87+P86+P85+P84+P83+P82+P81+P80+P79+P78+P77+P76+P75+P74+P73+P72+P71+P70+P69+P68+P67+P66+P65+P64+P63+P62+P61+P60+P59+P58+P57+P56+P55+P54+P53+P52+P51+P50+P49+P48+P47+P46+P45+P44+P43+P41+P143+P38+P37+P36+P35+P34+P33+P32+P31+P30+P29+P28+P23+P22+P21</f>
        <v>365.19999999999987</v>
      </c>
      <c r="Q145" s="163"/>
      <c r="R145" s="163">
        <f>R110+R144+R108+R141+R139+R137+R135+R133+R131+R129+R127+R125+R123+R121+R119+R117+R115+R113+R109+R107+R106+R105+R104+R103+R102+R101+R100+R99+R98+R97+R96+R95+R94+R93+R92+R91+R90+R89+R88+R87+R86+R85+R84+R83+R82+R81+R80+R79+R78+R77+R76+R75+R74+R73+R72+R71+R70+R69+R68+R67+R66+R65+R64+R63+R62+R61+R60+R59+R58+R57+R56+R55+R54+R53+R52+R51+R50+R49+R48+R47+R46+R45+R44+R43+R41+R143+R38+R37+R36+R35+R34+R33+R32+R31+R30+R29+R28+R23+R22+R21</f>
        <v>14.236141973791979</v>
      </c>
      <c r="S145" s="163"/>
      <c r="T145" s="163">
        <f>SUM(T21:T144)</f>
        <v>41.734999999999971</v>
      </c>
      <c r="U145" s="163">
        <f>U111+U39+U27+U20</f>
        <v>503.85999999999956</v>
      </c>
      <c r="V145" s="163"/>
      <c r="W145" s="163">
        <f>SUM(W21:W144)</f>
        <v>36.319999999999986</v>
      </c>
      <c r="X145" s="163"/>
      <c r="Y145" s="163">
        <f>SUM(Y21:Y144)</f>
        <v>82.697000000000017</v>
      </c>
      <c r="Z145" s="160"/>
      <c r="AA145" s="160"/>
      <c r="AB145" s="160"/>
    </row>
    <row r="146" spans="1:28" ht="15">
      <c r="A146" s="160"/>
      <c r="B146" s="165" t="s">
        <v>165</v>
      </c>
      <c r="C146" s="166"/>
      <c r="D146" s="166"/>
      <c r="E146" s="160"/>
      <c r="F146" s="164">
        <v>100</v>
      </c>
      <c r="G146" s="164">
        <f t="shared" ref="G146:Y146" si="9">G145</f>
        <v>15465.88</v>
      </c>
      <c r="H146" s="164">
        <f t="shared" si="9"/>
        <v>0</v>
      </c>
      <c r="I146" s="164">
        <f t="shared" si="9"/>
        <v>99.99</v>
      </c>
      <c r="J146" s="164">
        <f t="shared" si="9"/>
        <v>3835.43</v>
      </c>
      <c r="K146" s="164"/>
      <c r="L146" s="164">
        <f t="shared" si="9"/>
        <v>93.709999999999965</v>
      </c>
      <c r="M146" s="163">
        <f t="shared" si="9"/>
        <v>1139.9999999999995</v>
      </c>
      <c r="N146" s="164">
        <f t="shared" si="9"/>
        <v>0</v>
      </c>
      <c r="O146" s="164">
        <f t="shared" si="9"/>
        <v>32.755333333333326</v>
      </c>
      <c r="P146" s="164">
        <f t="shared" si="9"/>
        <v>365.19999999999987</v>
      </c>
      <c r="Q146" s="164">
        <f t="shared" si="9"/>
        <v>0</v>
      </c>
      <c r="R146" s="164">
        <f t="shared" si="9"/>
        <v>14.236141973791979</v>
      </c>
      <c r="S146" s="164"/>
      <c r="T146" s="164">
        <f t="shared" si="9"/>
        <v>41.734999999999971</v>
      </c>
      <c r="U146" s="164">
        <f t="shared" si="9"/>
        <v>503.85999999999956</v>
      </c>
      <c r="V146" s="164"/>
      <c r="W146" s="163">
        <f t="shared" si="9"/>
        <v>36.319999999999986</v>
      </c>
      <c r="X146" s="164"/>
      <c r="Y146" s="163">
        <f t="shared" si="9"/>
        <v>82.697000000000017</v>
      </c>
      <c r="Z146" s="160"/>
      <c r="AA146" s="160"/>
      <c r="AB146" s="160"/>
    </row>
    <row r="147" spans="1:28" ht="15">
      <c r="A147" s="167"/>
      <c r="B147" s="167"/>
      <c r="C147" s="168"/>
      <c r="D147" s="168"/>
      <c r="E147" s="168"/>
      <c r="F147" s="168"/>
      <c r="G147" s="168"/>
      <c r="H147" s="168"/>
      <c r="I147" s="168"/>
      <c r="J147" s="168"/>
      <c r="K147" s="169"/>
      <c r="L147" s="590"/>
      <c r="M147" s="590"/>
      <c r="N147" s="170"/>
      <c r="O147" s="169"/>
      <c r="P147" s="169"/>
      <c r="Q147" s="169"/>
      <c r="R147" s="169"/>
      <c r="S147" s="169"/>
      <c r="T147" s="169"/>
      <c r="U147" s="169"/>
      <c r="V147" s="169"/>
      <c r="W147" s="168"/>
      <c r="X147" s="168"/>
      <c r="Y147" s="167"/>
      <c r="Z147" s="167"/>
      <c r="AA147" s="167"/>
      <c r="AB147" s="167"/>
    </row>
    <row r="148" spans="1:28">
      <c r="A148" s="167"/>
      <c r="B148" s="167"/>
      <c r="C148" s="167"/>
      <c r="D148" s="167"/>
      <c r="E148" s="167"/>
      <c r="F148" s="167"/>
      <c r="G148" s="167"/>
      <c r="H148" s="167"/>
      <c r="I148" s="167"/>
      <c r="J148" s="167"/>
      <c r="K148" s="171"/>
      <c r="L148" s="171"/>
      <c r="M148" s="171"/>
      <c r="N148" s="171"/>
      <c r="O148" s="171"/>
      <c r="P148" s="171"/>
      <c r="Q148" s="171"/>
      <c r="R148" s="171"/>
      <c r="S148" s="171"/>
      <c r="T148" s="171"/>
      <c r="U148" s="171"/>
      <c r="V148" s="171"/>
      <c r="W148" s="167"/>
      <c r="X148" s="167"/>
      <c r="Y148" s="167"/>
      <c r="Z148" s="167"/>
      <c r="AA148" s="167"/>
      <c r="AB148" s="167"/>
    </row>
    <row r="149" spans="1:28">
      <c r="A149" s="167"/>
      <c r="B149" s="167"/>
      <c r="C149" s="167"/>
      <c r="D149" s="167"/>
      <c r="E149" s="167"/>
      <c r="F149" s="167"/>
      <c r="G149" s="167"/>
      <c r="H149" s="167"/>
      <c r="I149" s="167"/>
      <c r="J149" s="167"/>
      <c r="K149" s="171"/>
      <c r="L149" s="171"/>
      <c r="M149" s="171"/>
      <c r="N149" s="171"/>
      <c r="O149" s="171"/>
      <c r="P149" s="171"/>
      <c r="Q149" s="171"/>
      <c r="R149" s="171"/>
      <c r="S149" s="171"/>
      <c r="T149" s="171"/>
      <c r="U149" s="171"/>
      <c r="V149" s="171"/>
      <c r="W149" s="167"/>
      <c r="X149" s="167"/>
      <c r="Y149" s="167"/>
      <c r="Z149" s="167"/>
      <c r="AA149" s="167"/>
      <c r="AB149" s="167"/>
    </row>
    <row r="150" spans="1:28">
      <c r="A150" s="167"/>
      <c r="B150" s="172" t="s">
        <v>454</v>
      </c>
      <c r="C150" s="172"/>
      <c r="D150" s="172"/>
      <c r="E150" s="172"/>
      <c r="F150" s="172"/>
      <c r="G150" s="172"/>
      <c r="H150" s="172"/>
      <c r="I150" s="172"/>
      <c r="J150" s="172"/>
      <c r="K150" s="173"/>
      <c r="L150" s="174"/>
      <c r="M150" s="174"/>
      <c r="N150" s="174"/>
      <c r="O150" s="174"/>
      <c r="P150" s="174"/>
      <c r="Q150" s="174" t="s">
        <v>455</v>
      </c>
      <c r="R150" s="174"/>
      <c r="S150" s="174"/>
      <c r="T150" s="174"/>
      <c r="U150" s="174"/>
      <c r="V150" s="174"/>
      <c r="W150" s="172"/>
      <c r="X150" s="172"/>
      <c r="Y150" s="172"/>
      <c r="AB150" s="175"/>
    </row>
    <row r="151" spans="1:28">
      <c r="A151" s="167"/>
      <c r="B151" s="172" t="s">
        <v>456</v>
      </c>
      <c r="C151" s="167"/>
      <c r="D151" s="167"/>
      <c r="E151" s="167"/>
      <c r="F151" s="167"/>
      <c r="G151" s="167"/>
      <c r="H151" s="167"/>
      <c r="I151" s="167"/>
      <c r="J151" s="167"/>
      <c r="K151" s="171"/>
      <c r="L151" s="171"/>
      <c r="M151" s="171"/>
      <c r="N151" s="171"/>
      <c r="O151" s="171"/>
      <c r="P151" s="171"/>
      <c r="Q151" s="174" t="s">
        <v>456</v>
      </c>
      <c r="R151" s="171"/>
      <c r="S151" s="171"/>
      <c r="T151" s="171"/>
      <c r="U151" s="171"/>
      <c r="V151" s="171"/>
      <c r="W151" s="167"/>
      <c r="X151" s="167"/>
      <c r="Y151" s="167"/>
      <c r="Z151" s="167"/>
      <c r="AA151" s="167"/>
      <c r="AB151" s="167"/>
    </row>
    <row r="152" spans="1:28">
      <c r="S152" s="177" t="s">
        <v>457</v>
      </c>
    </row>
  </sheetData>
  <mergeCells count="23">
    <mergeCell ref="L147:M147"/>
    <mergeCell ref="X17:Y17"/>
    <mergeCell ref="Z17:AA17"/>
    <mergeCell ref="AB17:AB18"/>
    <mergeCell ref="A20:B20"/>
    <mergeCell ref="A27:B27"/>
    <mergeCell ref="A39:B39"/>
    <mergeCell ref="H17:J17"/>
    <mergeCell ref="K17:M17"/>
    <mergeCell ref="N17:P17"/>
    <mergeCell ref="Q17:R17"/>
    <mergeCell ref="S17:U17"/>
    <mergeCell ref="V17:W17"/>
    <mergeCell ref="A17:A18"/>
    <mergeCell ref="B17:B18"/>
    <mergeCell ref="C17:C18"/>
    <mergeCell ref="D17:D18"/>
    <mergeCell ref="E17:G17"/>
    <mergeCell ref="A1:AB1"/>
    <mergeCell ref="A2:AB2"/>
    <mergeCell ref="X4:Y4"/>
    <mergeCell ref="C11:D11"/>
    <mergeCell ref="C12:D12"/>
  </mergeCells>
  <pageMargins left="0.31" right="0.2" top="0.35" bottom="0.24" header="0.3" footer="0.2"/>
  <pageSetup scale="65" fitToHeight="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64"/>
  <sheetViews>
    <sheetView topLeftCell="B1" workbookViewId="0">
      <selection activeCell="B53" sqref="B53"/>
    </sheetView>
  </sheetViews>
  <sheetFormatPr defaultRowHeight="12.75"/>
  <cols>
    <col min="2" max="2" width="41.28515625" customWidth="1"/>
    <col min="8" max="10" width="0" hidden="1" customWidth="1"/>
    <col min="14" max="18" width="0" hidden="1" customWidth="1"/>
    <col min="24" max="24" width="13.28515625" customWidth="1"/>
  </cols>
  <sheetData>
    <row r="1" spans="1:28" ht="15" customHeight="1">
      <c r="A1" s="585" t="s">
        <v>173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row>
    <row r="2" spans="1:28" ht="4.1500000000000004" customHeight="1"/>
    <row r="3" spans="1:28" ht="14.45" customHeight="1">
      <c r="A3" s="608" t="s">
        <v>460</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row>
    <row r="4" spans="1:28" ht="15">
      <c r="A4" s="73" t="s">
        <v>174</v>
      </c>
      <c r="B4" s="73"/>
      <c r="C4" s="74"/>
      <c r="D4" s="74"/>
      <c r="E4" s="74"/>
      <c r="F4" s="74"/>
      <c r="G4" s="74"/>
      <c r="H4" s="74"/>
      <c r="I4" s="74"/>
      <c r="J4" s="74"/>
      <c r="K4" s="75"/>
      <c r="L4" s="75"/>
      <c r="M4" s="75"/>
      <c r="N4" s="71"/>
      <c r="O4" s="71"/>
      <c r="P4" s="71"/>
      <c r="Q4" s="71"/>
      <c r="R4" s="71"/>
      <c r="S4" s="76" t="s">
        <v>175</v>
      </c>
      <c r="T4" s="71"/>
      <c r="U4" s="75"/>
      <c r="V4" s="77">
        <f>72355865/100000</f>
        <v>723.55864999999994</v>
      </c>
      <c r="W4" s="176">
        <v>79.165880000000001</v>
      </c>
      <c r="X4" s="588">
        <f>V4+W4</f>
        <v>802.72452999999996</v>
      </c>
      <c r="Y4" s="588"/>
      <c r="Z4" s="74"/>
      <c r="AA4" s="74"/>
    </row>
    <row r="5" spans="1:28" ht="15">
      <c r="A5" s="78" t="s">
        <v>461</v>
      </c>
      <c r="B5" s="73"/>
      <c r="C5" s="74"/>
      <c r="D5" s="74"/>
      <c r="E5" s="74"/>
      <c r="F5" s="74"/>
      <c r="G5" s="74"/>
      <c r="H5" s="74"/>
      <c r="I5" s="74"/>
      <c r="J5" s="74"/>
      <c r="K5" s="75"/>
      <c r="L5" s="75"/>
      <c r="M5" s="75"/>
      <c r="N5" s="71"/>
      <c r="O5" s="71"/>
      <c r="P5" s="71"/>
      <c r="Q5" s="75"/>
      <c r="R5" s="75"/>
      <c r="S5" s="76" t="s">
        <v>177</v>
      </c>
      <c r="T5" s="75"/>
      <c r="U5" s="75"/>
      <c r="V5" s="75"/>
      <c r="W5" s="74"/>
      <c r="X5" s="77"/>
      <c r="Y5" s="74"/>
      <c r="Z5" s="74"/>
      <c r="AA5" s="74"/>
    </row>
    <row r="6" spans="1:28" ht="15">
      <c r="A6" s="73" t="s">
        <v>178</v>
      </c>
      <c r="B6" s="73"/>
      <c r="C6" s="74"/>
      <c r="D6" s="74"/>
      <c r="E6" s="74"/>
      <c r="F6" s="74"/>
      <c r="G6" s="74"/>
      <c r="H6" s="74"/>
      <c r="I6" s="74"/>
      <c r="J6" s="74"/>
      <c r="K6" s="75"/>
      <c r="L6" s="75"/>
      <c r="M6" s="75"/>
      <c r="N6" s="71"/>
      <c r="O6" s="71"/>
      <c r="P6" s="71"/>
      <c r="Q6" s="71"/>
      <c r="R6" s="76" t="s">
        <v>179</v>
      </c>
      <c r="S6" s="71"/>
      <c r="T6" s="71"/>
      <c r="U6" s="71"/>
      <c r="V6" s="75"/>
      <c r="W6" s="74"/>
      <c r="X6" s="74"/>
      <c r="Y6" s="74"/>
      <c r="Z6" s="74"/>
      <c r="AA6" s="74"/>
    </row>
    <row r="7" spans="1:28" ht="15">
      <c r="A7" s="73" t="s">
        <v>180</v>
      </c>
      <c r="B7" s="73"/>
      <c r="C7" s="74"/>
      <c r="D7" s="74"/>
      <c r="E7" s="74"/>
      <c r="F7" s="74"/>
      <c r="G7" s="74"/>
      <c r="H7" s="74"/>
      <c r="I7" s="74"/>
      <c r="J7" s="74"/>
      <c r="K7" s="75"/>
      <c r="L7" s="75"/>
      <c r="M7" s="75"/>
      <c r="N7" s="71"/>
      <c r="O7" s="76"/>
      <c r="P7" s="71"/>
      <c r="Q7" s="75"/>
      <c r="R7" s="75"/>
      <c r="S7" s="75"/>
      <c r="T7" s="75"/>
      <c r="U7" s="75"/>
      <c r="V7" s="75"/>
      <c r="W7" s="74"/>
      <c r="X7" s="74"/>
      <c r="Y7" s="74"/>
      <c r="Z7" s="74"/>
      <c r="AA7" s="74"/>
    </row>
    <row r="8" spans="1:28" ht="15">
      <c r="A8" s="73" t="s">
        <v>181</v>
      </c>
      <c r="B8" s="73"/>
      <c r="C8" s="74"/>
      <c r="D8" s="74"/>
      <c r="E8" s="74"/>
      <c r="F8" s="74"/>
      <c r="G8" s="74"/>
      <c r="H8" s="74"/>
      <c r="I8" s="74"/>
      <c r="J8" s="74"/>
      <c r="K8" s="75"/>
      <c r="L8" s="75"/>
      <c r="M8" s="75"/>
      <c r="N8" s="71"/>
      <c r="O8" s="71"/>
      <c r="P8" s="71"/>
      <c r="Q8" s="71"/>
      <c r="R8" s="76" t="s">
        <v>182</v>
      </c>
      <c r="S8" s="71"/>
      <c r="T8" s="75"/>
      <c r="U8" s="75"/>
      <c r="V8" s="75"/>
      <c r="W8" s="74"/>
      <c r="X8" s="74"/>
      <c r="Y8" s="74"/>
      <c r="Z8" s="74"/>
      <c r="AA8" s="74"/>
    </row>
    <row r="9" spans="1:28" ht="15">
      <c r="A9" s="73" t="s">
        <v>183</v>
      </c>
      <c r="B9" s="73"/>
      <c r="C9" s="74"/>
      <c r="D9" s="74"/>
      <c r="E9" s="74"/>
      <c r="F9" s="74"/>
      <c r="G9" s="74"/>
      <c r="H9" s="74"/>
      <c r="I9" s="74"/>
      <c r="J9" s="74"/>
      <c r="K9" s="75"/>
      <c r="L9" s="75"/>
      <c r="M9" s="75"/>
      <c r="N9" s="71"/>
      <c r="O9" s="76"/>
      <c r="P9" s="71"/>
      <c r="Q9" s="75"/>
      <c r="R9" s="75"/>
      <c r="S9" s="75"/>
      <c r="T9" s="75"/>
      <c r="U9" s="75"/>
      <c r="V9" s="75"/>
      <c r="W9" s="74"/>
      <c r="X9" s="74"/>
      <c r="Y9" s="74"/>
      <c r="Z9" s="74"/>
      <c r="AA9" s="74"/>
    </row>
    <row r="10" spans="1:28" ht="15">
      <c r="A10" s="73" t="s">
        <v>184</v>
      </c>
      <c r="B10" s="73"/>
      <c r="C10" s="74"/>
      <c r="D10" s="74"/>
      <c r="E10" s="74"/>
      <c r="F10" s="74"/>
      <c r="G10" s="74"/>
      <c r="H10" s="74"/>
      <c r="I10" s="74"/>
      <c r="J10" s="74"/>
      <c r="K10" s="75"/>
      <c r="L10" s="75"/>
      <c r="M10" s="75"/>
      <c r="N10" s="71"/>
      <c r="O10" s="71"/>
      <c r="P10" s="71"/>
      <c r="Q10" s="71"/>
      <c r="R10" s="75"/>
      <c r="S10" s="76" t="s">
        <v>185</v>
      </c>
      <c r="T10" s="71"/>
      <c r="U10" s="75"/>
      <c r="V10" s="75"/>
      <c r="W10" s="74"/>
      <c r="X10" s="74"/>
      <c r="Y10" s="74"/>
      <c r="Z10" s="74"/>
      <c r="AA10" s="74"/>
    </row>
    <row r="11" spans="1:28" ht="15">
      <c r="A11" s="73" t="s">
        <v>186</v>
      </c>
      <c r="B11" s="73"/>
      <c r="C11" s="589">
        <f>M57</f>
        <v>763.03</v>
      </c>
      <c r="D11" s="589"/>
      <c r="E11" s="79"/>
      <c r="F11" s="79"/>
      <c r="G11" s="79"/>
      <c r="H11" s="79"/>
      <c r="I11" s="79"/>
      <c r="J11" s="79"/>
      <c r="K11" s="75"/>
      <c r="L11" s="75"/>
      <c r="M11" s="75"/>
      <c r="N11" s="71"/>
      <c r="O11" s="71"/>
      <c r="P11" s="71"/>
      <c r="Q11" s="71"/>
      <c r="R11" s="75"/>
      <c r="S11" s="76" t="s">
        <v>187</v>
      </c>
      <c r="T11" s="71"/>
      <c r="U11" s="75"/>
      <c r="V11" s="75"/>
      <c r="W11" s="74"/>
      <c r="X11" s="74"/>
      <c r="Y11" s="74"/>
      <c r="Z11" s="74"/>
      <c r="AA11" s="74"/>
    </row>
    <row r="12" spans="1:28" ht="15">
      <c r="A12" s="80" t="s">
        <v>188</v>
      </c>
      <c r="B12" s="73"/>
      <c r="C12" s="589">
        <f>C11</f>
        <v>763.03</v>
      </c>
      <c r="D12" s="589"/>
      <c r="E12" s="79"/>
      <c r="F12" s="79"/>
      <c r="G12" s="79"/>
      <c r="H12" s="79"/>
      <c r="I12" s="79"/>
      <c r="J12" s="79"/>
      <c r="K12" s="75"/>
      <c r="L12" s="75"/>
      <c r="M12" s="75"/>
      <c r="N12" s="71"/>
      <c r="O12" s="71"/>
      <c r="P12" s="71"/>
      <c r="Q12" s="75"/>
      <c r="R12" s="75"/>
      <c r="S12" s="76" t="s">
        <v>189</v>
      </c>
      <c r="T12" s="75"/>
      <c r="U12" s="75"/>
      <c r="V12" s="75"/>
      <c r="W12" s="74"/>
      <c r="X12" s="74"/>
      <c r="Y12" s="74"/>
      <c r="Z12" s="74"/>
      <c r="AB12" s="81">
        <f>V4/C11*100</f>
        <v>94.82702514973198</v>
      </c>
    </row>
    <row r="13" spans="1:28" ht="15">
      <c r="A13" s="73" t="s">
        <v>190</v>
      </c>
      <c r="B13" s="73"/>
      <c r="C13" s="74"/>
      <c r="D13" s="74"/>
      <c r="E13" s="74"/>
      <c r="F13" s="74"/>
      <c r="G13" s="74"/>
      <c r="H13" s="74"/>
      <c r="I13" s="74"/>
      <c r="J13" s="74"/>
      <c r="K13" s="75"/>
      <c r="L13" s="75"/>
      <c r="M13" s="75"/>
      <c r="N13" s="71"/>
      <c r="O13" s="71"/>
      <c r="P13" s="71"/>
      <c r="Q13" s="75"/>
      <c r="R13" s="75"/>
      <c r="S13" s="76" t="s">
        <v>191</v>
      </c>
      <c r="T13" s="75"/>
      <c r="U13" s="75"/>
      <c r="V13" s="75"/>
      <c r="W13" s="74"/>
      <c r="X13" s="74"/>
      <c r="Y13" s="74"/>
      <c r="Z13" s="74"/>
      <c r="AB13" s="82">
        <f>723.56/M59*100</f>
        <v>94.716724264320874</v>
      </c>
    </row>
    <row r="14" spans="1:28" ht="15">
      <c r="A14" s="73" t="s">
        <v>192</v>
      </c>
      <c r="B14" s="73"/>
      <c r="C14" s="74"/>
      <c r="D14" s="74"/>
      <c r="E14" s="74"/>
      <c r="F14" s="74"/>
      <c r="G14" s="74"/>
      <c r="H14" s="74"/>
      <c r="I14" s="74"/>
      <c r="J14" s="74"/>
      <c r="K14" s="75"/>
      <c r="L14" s="75"/>
      <c r="M14" s="75"/>
      <c r="N14" s="71"/>
      <c r="O14" s="71"/>
      <c r="P14" s="71"/>
      <c r="Q14" s="75"/>
      <c r="R14" s="75"/>
      <c r="S14" s="76" t="s">
        <v>193</v>
      </c>
      <c r="T14" s="75"/>
      <c r="U14" s="75"/>
      <c r="V14" s="75"/>
      <c r="W14" s="74"/>
      <c r="X14" s="74"/>
      <c r="Y14" s="74"/>
      <c r="Z14" s="74"/>
      <c r="AA14" s="74"/>
      <c r="AB14" s="83"/>
    </row>
    <row r="15" spans="1:28" ht="15">
      <c r="A15" s="73" t="s">
        <v>194</v>
      </c>
      <c r="B15" s="73"/>
      <c r="C15" s="74"/>
      <c r="D15" s="74"/>
      <c r="E15" s="74"/>
      <c r="F15" s="74"/>
      <c r="G15" s="74"/>
      <c r="H15" s="74"/>
      <c r="I15" s="74"/>
      <c r="J15" s="74"/>
      <c r="K15" s="75"/>
      <c r="L15" s="75"/>
      <c r="M15" s="75"/>
      <c r="N15" s="71"/>
      <c r="O15" s="71"/>
      <c r="P15" s="71"/>
      <c r="Q15" s="75"/>
      <c r="R15" s="75"/>
      <c r="S15" s="76" t="s">
        <v>195</v>
      </c>
      <c r="T15" s="75"/>
      <c r="U15" s="75"/>
      <c r="V15" s="75"/>
      <c r="W15" s="74"/>
      <c r="X15" s="74"/>
      <c r="Y15" s="74"/>
      <c r="Z15" s="74"/>
      <c r="AB15" s="84">
        <f>Y59</f>
        <v>94.762000000000015</v>
      </c>
    </row>
    <row r="16" spans="1:28" ht="15">
      <c r="A16" s="73"/>
      <c r="B16" s="73"/>
      <c r="C16" s="74"/>
      <c r="D16" s="74"/>
      <c r="E16" s="74"/>
      <c r="F16" s="74"/>
      <c r="G16" s="74"/>
      <c r="H16" s="74"/>
      <c r="I16" s="74"/>
      <c r="J16" s="74"/>
      <c r="K16" s="75"/>
      <c r="L16" s="75"/>
      <c r="M16" s="75"/>
      <c r="N16" s="75"/>
      <c r="O16" s="75"/>
      <c r="P16" s="75"/>
      <c r="Q16" s="75"/>
      <c r="R16" s="75"/>
      <c r="S16" s="75"/>
      <c r="T16" s="75"/>
      <c r="U16" s="75"/>
      <c r="V16" s="75"/>
      <c r="W16" s="74"/>
      <c r="X16" s="74"/>
      <c r="Y16" s="74"/>
      <c r="Z16" s="73" t="s">
        <v>196</v>
      </c>
      <c r="AA16" s="74"/>
    </row>
    <row r="17" spans="1:28" ht="44.25" customHeight="1">
      <c r="A17" s="595" t="s">
        <v>197</v>
      </c>
      <c r="B17" s="595" t="s">
        <v>198</v>
      </c>
      <c r="C17" s="582" t="s">
        <v>199</v>
      </c>
      <c r="D17" s="582" t="s">
        <v>200</v>
      </c>
      <c r="E17" s="584" t="s">
        <v>201</v>
      </c>
      <c r="F17" s="584"/>
      <c r="G17" s="584"/>
      <c r="H17" s="584" t="s">
        <v>202</v>
      </c>
      <c r="I17" s="584"/>
      <c r="J17" s="584"/>
      <c r="K17" s="602" t="s">
        <v>203</v>
      </c>
      <c r="L17" s="603"/>
      <c r="M17" s="604"/>
      <c r="N17" s="602" t="s">
        <v>204</v>
      </c>
      <c r="O17" s="603"/>
      <c r="P17" s="604"/>
      <c r="Q17" s="605" t="s">
        <v>205</v>
      </c>
      <c r="R17" s="606"/>
      <c r="S17" s="602" t="s">
        <v>496</v>
      </c>
      <c r="T17" s="603"/>
      <c r="U17" s="604"/>
      <c r="V17" s="605" t="s">
        <v>495</v>
      </c>
      <c r="W17" s="606"/>
      <c r="X17" s="591" t="s">
        <v>206</v>
      </c>
      <c r="Y17" s="591"/>
      <c r="Z17" s="592" t="s">
        <v>207</v>
      </c>
      <c r="AA17" s="593"/>
      <c r="AB17" s="594" t="s">
        <v>208</v>
      </c>
    </row>
    <row r="18" spans="1:28" ht="28.5" customHeight="1">
      <c r="A18" s="607"/>
      <c r="B18" s="607"/>
      <c r="C18" s="583"/>
      <c r="D18" s="583"/>
      <c r="E18" s="85" t="s">
        <v>209</v>
      </c>
      <c r="F18" s="85" t="s">
        <v>210</v>
      </c>
      <c r="G18" s="85" t="s">
        <v>211</v>
      </c>
      <c r="H18" s="85" t="s">
        <v>209</v>
      </c>
      <c r="I18" s="85" t="s">
        <v>210</v>
      </c>
      <c r="J18" s="85" t="s">
        <v>211</v>
      </c>
      <c r="K18" s="86" t="s">
        <v>209</v>
      </c>
      <c r="L18" s="86" t="s">
        <v>210</v>
      </c>
      <c r="M18" s="86" t="s">
        <v>211</v>
      </c>
      <c r="N18" s="86" t="s">
        <v>209</v>
      </c>
      <c r="O18" s="86" t="s">
        <v>210</v>
      </c>
      <c r="P18" s="86" t="s">
        <v>211</v>
      </c>
      <c r="Q18" s="86" t="s">
        <v>209</v>
      </c>
      <c r="R18" s="86" t="s">
        <v>212</v>
      </c>
      <c r="S18" s="86" t="s">
        <v>209</v>
      </c>
      <c r="T18" s="86" t="s">
        <v>210</v>
      </c>
      <c r="U18" s="86" t="s">
        <v>211</v>
      </c>
      <c r="V18" s="86" t="s">
        <v>209</v>
      </c>
      <c r="W18" s="86" t="s">
        <v>212</v>
      </c>
      <c r="X18" s="87" t="s">
        <v>209</v>
      </c>
      <c r="Y18" s="87" t="s">
        <v>212</v>
      </c>
      <c r="Z18" s="88" t="s">
        <v>213</v>
      </c>
      <c r="AA18" s="89" t="s">
        <v>214</v>
      </c>
      <c r="AB18" s="595"/>
    </row>
    <row r="19" spans="1:28" ht="15">
      <c r="A19" s="90">
        <v>1</v>
      </c>
      <c r="B19" s="90">
        <v>2</v>
      </c>
      <c r="C19" s="91"/>
      <c r="D19" s="90">
        <v>3</v>
      </c>
      <c r="E19" s="90">
        <v>4</v>
      </c>
      <c r="F19" s="90">
        <v>5</v>
      </c>
      <c r="G19" s="90">
        <v>6</v>
      </c>
      <c r="H19" s="90">
        <v>7</v>
      </c>
      <c r="I19" s="90">
        <v>8</v>
      </c>
      <c r="J19" s="90">
        <v>9</v>
      </c>
      <c r="K19" s="92">
        <v>10</v>
      </c>
      <c r="L19" s="92">
        <v>11</v>
      </c>
      <c r="M19" s="92">
        <v>12</v>
      </c>
      <c r="N19" s="92">
        <v>13</v>
      </c>
      <c r="O19" s="92">
        <v>14</v>
      </c>
      <c r="P19" s="92">
        <v>15</v>
      </c>
      <c r="Q19" s="92">
        <v>16</v>
      </c>
      <c r="R19" s="92">
        <v>17</v>
      </c>
      <c r="S19" s="92">
        <v>13</v>
      </c>
      <c r="T19" s="92">
        <v>14</v>
      </c>
      <c r="U19" s="92">
        <v>15</v>
      </c>
      <c r="V19" s="92">
        <v>16</v>
      </c>
      <c r="W19" s="90">
        <v>17</v>
      </c>
      <c r="X19" s="90">
        <v>18</v>
      </c>
      <c r="Y19" s="90">
        <v>19</v>
      </c>
      <c r="Z19" s="90">
        <v>20</v>
      </c>
      <c r="AA19" s="90">
        <v>21</v>
      </c>
      <c r="AB19" s="90">
        <v>22</v>
      </c>
    </row>
    <row r="20" spans="1:28" s="97" customFormat="1" ht="14.25">
      <c r="A20" s="596" t="s">
        <v>215</v>
      </c>
      <c r="B20" s="597"/>
      <c r="C20" s="93"/>
      <c r="D20" s="93"/>
      <c r="E20" s="93"/>
      <c r="F20" s="93"/>
      <c r="G20" s="93"/>
      <c r="H20" s="93"/>
      <c r="I20" s="93"/>
      <c r="J20" s="93"/>
      <c r="K20" s="94"/>
      <c r="L20" s="94"/>
      <c r="M20" s="94"/>
      <c r="N20" s="94"/>
      <c r="O20" s="94"/>
      <c r="P20" s="94"/>
      <c r="Q20" s="94"/>
      <c r="R20" s="94"/>
      <c r="S20" s="94"/>
      <c r="T20" s="94"/>
      <c r="U20" s="94"/>
      <c r="V20" s="94"/>
      <c r="W20" s="93"/>
      <c r="X20" s="93"/>
      <c r="Y20" s="93"/>
      <c r="Z20" s="93"/>
      <c r="AA20" s="93"/>
      <c r="AB20" s="96"/>
    </row>
    <row r="21" spans="1:28" s="104" customFormat="1" ht="18">
      <c r="A21" s="178">
        <v>36</v>
      </c>
      <c r="B21" s="179" t="s">
        <v>133</v>
      </c>
      <c r="C21" s="98"/>
      <c r="D21" s="100"/>
      <c r="E21" s="98"/>
      <c r="F21" s="98"/>
      <c r="G21" s="98"/>
      <c r="H21" s="98">
        <v>0</v>
      </c>
      <c r="I21" s="98">
        <v>0</v>
      </c>
      <c r="J21" s="98">
        <v>0</v>
      </c>
      <c r="K21" s="98"/>
      <c r="L21" s="98"/>
      <c r="M21" s="98">
        <f>SUM(M22)</f>
        <v>20</v>
      </c>
      <c r="N21" s="98"/>
      <c r="O21" s="101"/>
      <c r="P21" s="98"/>
      <c r="Q21" s="98">
        <v>0</v>
      </c>
      <c r="R21" s="101">
        <v>0</v>
      </c>
      <c r="S21" s="101"/>
      <c r="T21" s="102"/>
      <c r="U21" s="98">
        <f>SUM(U22)</f>
        <v>20</v>
      </c>
      <c r="V21" s="101"/>
      <c r="W21" s="101"/>
      <c r="X21" s="101"/>
      <c r="Y21" s="101"/>
      <c r="Z21" s="98"/>
      <c r="AA21" s="98"/>
      <c r="AB21" s="98"/>
    </row>
    <row r="22" spans="1:28" s="104" customFormat="1" ht="18">
      <c r="A22" s="180" t="s">
        <v>462</v>
      </c>
      <c r="B22" s="181" t="s">
        <v>134</v>
      </c>
      <c r="C22" s="105">
        <v>31155</v>
      </c>
      <c r="D22" s="107" t="s">
        <v>218</v>
      </c>
      <c r="E22" s="105">
        <v>0</v>
      </c>
      <c r="F22" s="105">
        <v>0</v>
      </c>
      <c r="G22" s="105">
        <v>0</v>
      </c>
      <c r="H22" s="105">
        <v>0</v>
      </c>
      <c r="I22" s="105">
        <v>0</v>
      </c>
      <c r="J22" s="105">
        <v>0</v>
      </c>
      <c r="K22" s="105">
        <v>1</v>
      </c>
      <c r="L22" s="105">
        <f>ROUND(M22/M57*K22*100,2)</f>
        <v>2.62</v>
      </c>
      <c r="M22" s="105">
        <v>20</v>
      </c>
      <c r="N22" s="105">
        <v>0</v>
      </c>
      <c r="O22" s="108">
        <v>0</v>
      </c>
      <c r="P22" s="105">
        <v>0</v>
      </c>
      <c r="Q22" s="105">
        <v>0</v>
      </c>
      <c r="R22" s="105">
        <f>L22/K22*Q22</f>
        <v>0</v>
      </c>
      <c r="S22" s="105">
        <v>1</v>
      </c>
      <c r="T22" s="105">
        <f>ROUND(U22/$M$57*S22*100,2)</f>
        <v>2.62</v>
      </c>
      <c r="U22" s="105">
        <v>20</v>
      </c>
      <c r="V22" s="105">
        <v>1</v>
      </c>
      <c r="W22" s="110">
        <f t="shared" ref="W22:W55" si="0">T22/S22*V22</f>
        <v>2.62</v>
      </c>
      <c r="X22" s="110">
        <f>V22+Q22</f>
        <v>1</v>
      </c>
      <c r="Y22" s="110">
        <f>W22+R22</f>
        <v>2.62</v>
      </c>
      <c r="Z22" s="105"/>
      <c r="AA22" s="105"/>
      <c r="AB22" s="105"/>
    </row>
    <row r="23" spans="1:28" s="124" customFormat="1" ht="18">
      <c r="A23" s="182">
        <v>39</v>
      </c>
      <c r="B23" s="183" t="s">
        <v>43</v>
      </c>
      <c r="C23" s="184"/>
      <c r="D23" s="184"/>
      <c r="E23" s="184"/>
      <c r="F23" s="184"/>
      <c r="G23" s="184"/>
      <c r="H23" s="184"/>
      <c r="I23" s="184"/>
      <c r="J23" s="184"/>
      <c r="K23" s="184"/>
      <c r="L23" s="184"/>
      <c r="M23" s="185">
        <f>SUM(M24:M35)</f>
        <v>309.21999999999997</v>
      </c>
      <c r="N23" s="184"/>
      <c r="O23" s="184"/>
      <c r="P23" s="184"/>
      <c r="Q23" s="184"/>
      <c r="R23" s="184"/>
      <c r="S23" s="184"/>
      <c r="T23" s="122"/>
      <c r="U23" s="185">
        <f>SUM(U24:U35)</f>
        <v>283.84000000000003</v>
      </c>
      <c r="V23" s="184"/>
      <c r="W23" s="186"/>
      <c r="X23" s="186"/>
      <c r="Y23" s="186"/>
      <c r="Z23" s="184"/>
      <c r="AA23" s="184"/>
      <c r="AB23" s="184"/>
    </row>
    <row r="24" spans="1:28" s="124" customFormat="1" ht="17.25">
      <c r="A24" s="187" t="s">
        <v>463</v>
      </c>
      <c r="B24" s="188" t="s">
        <v>142</v>
      </c>
      <c r="C24" s="98">
        <v>31154</v>
      </c>
      <c r="D24" s="100" t="s">
        <v>218</v>
      </c>
      <c r="E24" s="98">
        <v>0</v>
      </c>
      <c r="F24" s="98">
        <v>0</v>
      </c>
      <c r="G24" s="98">
        <v>0</v>
      </c>
      <c r="H24" s="98">
        <v>0</v>
      </c>
      <c r="I24" s="98">
        <v>0</v>
      </c>
      <c r="J24" s="98">
        <v>0</v>
      </c>
      <c r="K24" s="98">
        <v>1</v>
      </c>
      <c r="L24" s="105">
        <f>ROUND(M24/M57*K24*100,2)</f>
        <v>1.1100000000000001</v>
      </c>
      <c r="M24" s="98">
        <v>8.4600000000000009</v>
      </c>
      <c r="N24" s="98">
        <v>0</v>
      </c>
      <c r="O24" s="125">
        <v>0</v>
      </c>
      <c r="P24" s="98">
        <v>0</v>
      </c>
      <c r="Q24" s="98">
        <v>0</v>
      </c>
      <c r="R24" s="101">
        <v>0</v>
      </c>
      <c r="S24" s="101">
        <v>1</v>
      </c>
      <c r="T24" s="105">
        <f t="shared" ref="T24:T35" si="1">ROUND(U24/$M$57*S24*100,2)</f>
        <v>1.1100000000000001</v>
      </c>
      <c r="U24" s="101">
        <v>8.4600000000000009</v>
      </c>
      <c r="V24" s="101">
        <v>1</v>
      </c>
      <c r="W24" s="101">
        <f t="shared" ref="W24:W34" si="2">T24/S24*V24</f>
        <v>1.1100000000000001</v>
      </c>
      <c r="X24" s="101">
        <f t="shared" ref="X24:X34" si="3">V24+Q24</f>
        <v>1</v>
      </c>
      <c r="Y24" s="101">
        <f>L24/K24*X24</f>
        <v>1.1100000000000001</v>
      </c>
      <c r="Z24" s="98"/>
      <c r="AA24" s="98"/>
      <c r="AB24" s="126"/>
    </row>
    <row r="25" spans="1:28" s="124" customFormat="1" ht="17.25">
      <c r="A25" s="189" t="s">
        <v>464</v>
      </c>
      <c r="B25" s="190" t="s">
        <v>86</v>
      </c>
      <c r="C25" s="105">
        <v>31154</v>
      </c>
      <c r="D25" s="107" t="s">
        <v>218</v>
      </c>
      <c r="E25" s="105">
        <v>0</v>
      </c>
      <c r="F25" s="105">
        <v>0</v>
      </c>
      <c r="G25" s="105">
        <v>0</v>
      </c>
      <c r="H25" s="105">
        <v>0</v>
      </c>
      <c r="I25" s="105">
        <v>0</v>
      </c>
      <c r="J25" s="105">
        <v>0</v>
      </c>
      <c r="K25" s="105">
        <v>1</v>
      </c>
      <c r="L25" s="105">
        <f t="shared" ref="L25:L35" si="4">ROUND(M25/$M$57*K25*100,2)</f>
        <v>1.1100000000000001</v>
      </c>
      <c r="M25" s="105">
        <v>8.4600000000000009</v>
      </c>
      <c r="N25" s="98">
        <v>0</v>
      </c>
      <c r="O25" s="125">
        <v>0</v>
      </c>
      <c r="P25" s="98">
        <v>0</v>
      </c>
      <c r="Q25" s="105">
        <v>0</v>
      </c>
      <c r="R25" s="110">
        <v>0</v>
      </c>
      <c r="S25" s="110">
        <v>1</v>
      </c>
      <c r="T25" s="105">
        <f t="shared" si="1"/>
        <v>1.1100000000000001</v>
      </c>
      <c r="U25" s="110">
        <v>8.4600000000000009</v>
      </c>
      <c r="V25" s="110">
        <v>1</v>
      </c>
      <c r="W25" s="110">
        <f t="shared" si="2"/>
        <v>1.1100000000000001</v>
      </c>
      <c r="X25" s="110">
        <f t="shared" si="3"/>
        <v>1</v>
      </c>
      <c r="Y25" s="110">
        <f t="shared" ref="Y25:Y44" si="5">L25/K25*X25</f>
        <v>1.1100000000000001</v>
      </c>
      <c r="Z25" s="105"/>
      <c r="AA25" s="105"/>
      <c r="AB25" s="127"/>
    </row>
    <row r="26" spans="1:28" s="124" customFormat="1" ht="17.25">
      <c r="A26" s="189" t="s">
        <v>465</v>
      </c>
      <c r="B26" s="190" t="s">
        <v>48</v>
      </c>
      <c r="C26" s="105">
        <v>31154</v>
      </c>
      <c r="D26" s="107" t="s">
        <v>218</v>
      </c>
      <c r="E26" s="105">
        <v>0</v>
      </c>
      <c r="F26" s="105">
        <v>0</v>
      </c>
      <c r="G26" s="105">
        <v>0</v>
      </c>
      <c r="H26" s="105">
        <v>0</v>
      </c>
      <c r="I26" s="105">
        <v>0</v>
      </c>
      <c r="J26" s="105">
        <v>0</v>
      </c>
      <c r="K26" s="105">
        <v>1</v>
      </c>
      <c r="L26" s="105">
        <f t="shared" si="4"/>
        <v>1.1100000000000001</v>
      </c>
      <c r="M26" s="105">
        <v>8.4600000000000009</v>
      </c>
      <c r="N26" s="98">
        <v>0</v>
      </c>
      <c r="O26" s="125">
        <v>0</v>
      </c>
      <c r="P26" s="98">
        <v>0</v>
      </c>
      <c r="Q26" s="105">
        <v>0</v>
      </c>
      <c r="R26" s="110">
        <v>0</v>
      </c>
      <c r="S26" s="110">
        <v>0</v>
      </c>
      <c r="T26" s="105">
        <f t="shared" si="1"/>
        <v>0</v>
      </c>
      <c r="U26" s="110">
        <v>0</v>
      </c>
      <c r="V26" s="110">
        <v>0</v>
      </c>
      <c r="W26" s="110">
        <v>0</v>
      </c>
      <c r="X26" s="110">
        <v>0</v>
      </c>
      <c r="Y26" s="110">
        <f t="shared" si="5"/>
        <v>0</v>
      </c>
      <c r="Z26" s="105"/>
      <c r="AA26" s="105"/>
      <c r="AB26" s="127"/>
    </row>
    <row r="27" spans="1:28" s="124" customFormat="1" ht="17.25">
      <c r="A27" s="189" t="s">
        <v>466</v>
      </c>
      <c r="B27" s="190" t="s">
        <v>143</v>
      </c>
      <c r="C27" s="105">
        <v>31154</v>
      </c>
      <c r="D27" s="107" t="s">
        <v>218</v>
      </c>
      <c r="E27" s="105">
        <v>0</v>
      </c>
      <c r="F27" s="105">
        <v>0</v>
      </c>
      <c r="G27" s="105">
        <v>0</v>
      </c>
      <c r="H27" s="105">
        <v>0</v>
      </c>
      <c r="I27" s="105">
        <v>0</v>
      </c>
      <c r="J27" s="105">
        <v>0</v>
      </c>
      <c r="K27" s="105">
        <v>1</v>
      </c>
      <c r="L27" s="105">
        <f t="shared" si="4"/>
        <v>1.1100000000000001</v>
      </c>
      <c r="M27" s="105">
        <v>8.4600000000000009</v>
      </c>
      <c r="N27" s="98">
        <v>0</v>
      </c>
      <c r="O27" s="125">
        <v>0</v>
      </c>
      <c r="P27" s="98">
        <v>0</v>
      </c>
      <c r="Q27" s="105">
        <v>0</v>
      </c>
      <c r="R27" s="110">
        <v>0</v>
      </c>
      <c r="S27" s="110">
        <v>0.5</v>
      </c>
      <c r="T27" s="105">
        <f t="shared" si="1"/>
        <v>0.28000000000000003</v>
      </c>
      <c r="U27" s="110">
        <v>4.2300000000000004</v>
      </c>
      <c r="V27" s="110">
        <v>0.5</v>
      </c>
      <c r="W27" s="110">
        <f t="shared" si="2"/>
        <v>0.28000000000000003</v>
      </c>
      <c r="X27" s="110">
        <v>1</v>
      </c>
      <c r="Y27" s="110">
        <f t="shared" si="5"/>
        <v>1.1100000000000001</v>
      </c>
      <c r="Z27" s="105"/>
      <c r="AA27" s="105"/>
      <c r="AB27" s="127"/>
    </row>
    <row r="28" spans="1:28" s="121" customFormat="1" ht="17.25">
      <c r="A28" s="189" t="s">
        <v>467</v>
      </c>
      <c r="B28" s="190" t="s">
        <v>51</v>
      </c>
      <c r="C28" s="105">
        <v>31154</v>
      </c>
      <c r="D28" s="107" t="s">
        <v>218</v>
      </c>
      <c r="E28" s="105">
        <v>0</v>
      </c>
      <c r="F28" s="105">
        <v>0</v>
      </c>
      <c r="G28" s="105">
        <v>0</v>
      </c>
      <c r="H28" s="105">
        <v>0</v>
      </c>
      <c r="I28" s="105">
        <v>0</v>
      </c>
      <c r="J28" s="105">
        <v>0</v>
      </c>
      <c r="K28" s="105">
        <v>0</v>
      </c>
      <c r="L28" s="105">
        <f t="shared" si="4"/>
        <v>0</v>
      </c>
      <c r="M28" s="105">
        <v>0</v>
      </c>
      <c r="N28" s="98">
        <v>0</v>
      </c>
      <c r="O28" s="125">
        <v>0</v>
      </c>
      <c r="P28" s="98">
        <v>0</v>
      </c>
      <c r="Q28" s="105">
        <v>0</v>
      </c>
      <c r="R28" s="110">
        <v>0</v>
      </c>
      <c r="S28" s="110">
        <v>0</v>
      </c>
      <c r="T28" s="105">
        <f t="shared" si="1"/>
        <v>0</v>
      </c>
      <c r="U28" s="110">
        <v>0</v>
      </c>
      <c r="V28" s="110">
        <v>0</v>
      </c>
      <c r="W28" s="110">
        <v>0</v>
      </c>
      <c r="X28" s="110">
        <f t="shared" si="3"/>
        <v>0</v>
      </c>
      <c r="Y28" s="110">
        <v>0</v>
      </c>
      <c r="Z28" s="105"/>
      <c r="AA28" s="105"/>
      <c r="AB28" s="127"/>
    </row>
    <row r="29" spans="1:28" s="121" customFormat="1" ht="17.25">
      <c r="A29" s="189" t="s">
        <v>468</v>
      </c>
      <c r="B29" s="190" t="s">
        <v>140</v>
      </c>
      <c r="C29" s="105">
        <v>31154</v>
      </c>
      <c r="D29" s="107" t="s">
        <v>218</v>
      </c>
      <c r="E29" s="105">
        <v>0</v>
      </c>
      <c r="F29" s="105">
        <v>0</v>
      </c>
      <c r="G29" s="105">
        <v>0</v>
      </c>
      <c r="H29" s="105">
        <v>0</v>
      </c>
      <c r="I29" s="105">
        <v>0</v>
      </c>
      <c r="J29" s="105">
        <v>0</v>
      </c>
      <c r="K29" s="105">
        <v>0</v>
      </c>
      <c r="L29" s="105">
        <f t="shared" si="4"/>
        <v>0</v>
      </c>
      <c r="M29" s="105">
        <v>0</v>
      </c>
      <c r="N29" s="98">
        <v>0</v>
      </c>
      <c r="O29" s="125">
        <v>0</v>
      </c>
      <c r="P29" s="98">
        <v>0</v>
      </c>
      <c r="Q29" s="105">
        <v>0</v>
      </c>
      <c r="R29" s="110">
        <v>0</v>
      </c>
      <c r="S29" s="110">
        <v>0</v>
      </c>
      <c r="T29" s="105">
        <f t="shared" si="1"/>
        <v>0</v>
      </c>
      <c r="U29" s="110">
        <v>0</v>
      </c>
      <c r="V29" s="110">
        <v>0</v>
      </c>
      <c r="W29" s="110">
        <v>0</v>
      </c>
      <c r="X29" s="110">
        <f t="shared" si="3"/>
        <v>0</v>
      </c>
      <c r="Y29" s="110">
        <v>0</v>
      </c>
      <c r="Z29" s="105"/>
      <c r="AA29" s="105"/>
      <c r="AB29" s="127"/>
    </row>
    <row r="30" spans="1:28" s="121" customFormat="1" ht="34.5">
      <c r="A30" s="189" t="s">
        <v>469</v>
      </c>
      <c r="B30" s="190" t="s">
        <v>109</v>
      </c>
      <c r="C30" s="105">
        <v>31154</v>
      </c>
      <c r="D30" s="107" t="s">
        <v>218</v>
      </c>
      <c r="E30" s="105">
        <v>0</v>
      </c>
      <c r="F30" s="105">
        <v>0</v>
      </c>
      <c r="G30" s="105">
        <v>0</v>
      </c>
      <c r="H30" s="105">
        <v>0</v>
      </c>
      <c r="I30" s="105">
        <v>0</v>
      </c>
      <c r="J30" s="105">
        <v>0</v>
      </c>
      <c r="K30" s="105">
        <v>1</v>
      </c>
      <c r="L30" s="105">
        <f t="shared" si="4"/>
        <v>1.1100000000000001</v>
      </c>
      <c r="M30" s="105">
        <v>8.4600000000000009</v>
      </c>
      <c r="N30" s="98">
        <v>0</v>
      </c>
      <c r="O30" s="125">
        <v>0</v>
      </c>
      <c r="P30" s="98">
        <v>0</v>
      </c>
      <c r="Q30" s="105">
        <v>0</v>
      </c>
      <c r="R30" s="110">
        <v>0</v>
      </c>
      <c r="S30" s="110">
        <v>0.5</v>
      </c>
      <c r="T30" s="105">
        <f t="shared" si="1"/>
        <v>0.28000000000000003</v>
      </c>
      <c r="U30" s="110">
        <v>4.2300000000000004</v>
      </c>
      <c r="V30" s="110">
        <v>0.35</v>
      </c>
      <c r="W30" s="110">
        <f t="shared" si="2"/>
        <v>0.19600000000000001</v>
      </c>
      <c r="X30" s="110">
        <v>1</v>
      </c>
      <c r="Y30" s="110">
        <f t="shared" si="5"/>
        <v>1.1100000000000001</v>
      </c>
      <c r="Z30" s="105"/>
      <c r="AA30" s="105"/>
      <c r="AB30" s="127"/>
    </row>
    <row r="31" spans="1:28" s="121" customFormat="1" ht="17.25">
      <c r="A31" s="189" t="s">
        <v>470</v>
      </c>
      <c r="B31" s="190" t="s">
        <v>138</v>
      </c>
      <c r="C31" s="105">
        <v>31154</v>
      </c>
      <c r="D31" s="107" t="s">
        <v>218</v>
      </c>
      <c r="E31" s="105">
        <v>0</v>
      </c>
      <c r="F31" s="105">
        <v>0</v>
      </c>
      <c r="G31" s="105">
        <v>0</v>
      </c>
      <c r="H31" s="105">
        <v>0</v>
      </c>
      <c r="I31" s="105">
        <v>0</v>
      </c>
      <c r="J31" s="105">
        <v>0</v>
      </c>
      <c r="K31" s="105">
        <v>0</v>
      </c>
      <c r="L31" s="105">
        <f t="shared" si="4"/>
        <v>0</v>
      </c>
      <c r="M31" s="105">
        <v>0</v>
      </c>
      <c r="N31" s="98">
        <v>0</v>
      </c>
      <c r="O31" s="125">
        <v>0</v>
      </c>
      <c r="P31" s="98">
        <v>0</v>
      </c>
      <c r="Q31" s="105">
        <v>0</v>
      </c>
      <c r="R31" s="110">
        <v>0</v>
      </c>
      <c r="S31" s="110">
        <v>0</v>
      </c>
      <c r="T31" s="105">
        <f t="shared" si="1"/>
        <v>0</v>
      </c>
      <c r="U31" s="110">
        <v>0</v>
      </c>
      <c r="V31" s="110">
        <v>0</v>
      </c>
      <c r="W31" s="110">
        <v>0</v>
      </c>
      <c r="X31" s="110">
        <f t="shared" si="3"/>
        <v>0</v>
      </c>
      <c r="Y31" s="110">
        <v>0</v>
      </c>
      <c r="Z31" s="105"/>
      <c r="AA31" s="105"/>
      <c r="AB31" s="127"/>
    </row>
    <row r="32" spans="1:28" s="121" customFormat="1" ht="17.25">
      <c r="A32" s="189" t="s">
        <v>471</v>
      </c>
      <c r="B32" s="190" t="s">
        <v>50</v>
      </c>
      <c r="C32" s="105">
        <v>31154</v>
      </c>
      <c r="D32" s="107" t="s">
        <v>218</v>
      </c>
      <c r="E32" s="105">
        <v>0</v>
      </c>
      <c r="F32" s="105">
        <v>0</v>
      </c>
      <c r="G32" s="105">
        <v>0</v>
      </c>
      <c r="H32" s="105">
        <v>0</v>
      </c>
      <c r="I32" s="105">
        <v>0</v>
      </c>
      <c r="J32" s="105">
        <v>0</v>
      </c>
      <c r="K32" s="105">
        <v>0</v>
      </c>
      <c r="L32" s="105">
        <f t="shared" si="4"/>
        <v>0</v>
      </c>
      <c r="M32" s="105">
        <v>0</v>
      </c>
      <c r="N32" s="98">
        <v>0</v>
      </c>
      <c r="O32" s="125">
        <v>0</v>
      </c>
      <c r="P32" s="98">
        <v>0</v>
      </c>
      <c r="Q32" s="105">
        <v>0</v>
      </c>
      <c r="R32" s="110">
        <v>0</v>
      </c>
      <c r="S32" s="110">
        <v>0</v>
      </c>
      <c r="T32" s="105">
        <f t="shared" si="1"/>
        <v>0</v>
      </c>
      <c r="U32" s="110">
        <v>0</v>
      </c>
      <c r="V32" s="110">
        <v>0</v>
      </c>
      <c r="W32" s="110">
        <v>0</v>
      </c>
      <c r="X32" s="110">
        <f t="shared" si="3"/>
        <v>0</v>
      </c>
      <c r="Y32" s="110">
        <v>0</v>
      </c>
      <c r="Z32" s="105"/>
      <c r="AA32" s="105"/>
      <c r="AB32" s="127"/>
    </row>
    <row r="33" spans="1:28" s="124" customFormat="1" ht="17.25">
      <c r="A33" s="189" t="s">
        <v>472</v>
      </c>
      <c r="B33" s="191" t="s">
        <v>139</v>
      </c>
      <c r="C33" s="105">
        <v>31154</v>
      </c>
      <c r="D33" s="107" t="s">
        <v>218</v>
      </c>
      <c r="E33" s="105">
        <v>0</v>
      </c>
      <c r="F33" s="105">
        <v>0</v>
      </c>
      <c r="G33" s="105">
        <v>0</v>
      </c>
      <c r="H33" s="105">
        <v>0</v>
      </c>
      <c r="I33" s="105">
        <v>0</v>
      </c>
      <c r="J33" s="105">
        <v>0</v>
      </c>
      <c r="K33" s="105">
        <v>1</v>
      </c>
      <c r="L33" s="105">
        <f t="shared" si="4"/>
        <v>1.1100000000000001</v>
      </c>
      <c r="M33" s="105">
        <v>8.4600000000000009</v>
      </c>
      <c r="N33" s="98">
        <v>0</v>
      </c>
      <c r="O33" s="125">
        <v>0</v>
      </c>
      <c r="P33" s="98">
        <v>0</v>
      </c>
      <c r="Q33" s="105">
        <v>0</v>
      </c>
      <c r="R33" s="110">
        <v>0</v>
      </c>
      <c r="S33" s="110">
        <v>1</v>
      </c>
      <c r="T33" s="105">
        <f t="shared" si="1"/>
        <v>1.1100000000000001</v>
      </c>
      <c r="U33" s="110">
        <v>8.4600000000000009</v>
      </c>
      <c r="V33" s="110">
        <v>0.8</v>
      </c>
      <c r="W33" s="110">
        <f t="shared" si="2"/>
        <v>0.88800000000000012</v>
      </c>
      <c r="X33" s="110">
        <v>1</v>
      </c>
      <c r="Y33" s="110">
        <f t="shared" si="5"/>
        <v>1.1100000000000001</v>
      </c>
      <c r="Z33" s="105"/>
      <c r="AA33" s="105"/>
      <c r="AB33" s="127"/>
    </row>
    <row r="34" spans="1:28" s="124" customFormat="1" ht="17.25">
      <c r="A34" s="189" t="s">
        <v>473</v>
      </c>
      <c r="B34" s="190" t="s">
        <v>46</v>
      </c>
      <c r="C34" s="152">
        <v>31154</v>
      </c>
      <c r="D34" s="192" t="s">
        <v>218</v>
      </c>
      <c r="E34" s="152">
        <v>0</v>
      </c>
      <c r="F34" s="152">
        <v>0</v>
      </c>
      <c r="G34" s="152">
        <v>0</v>
      </c>
      <c r="H34" s="152">
        <v>0</v>
      </c>
      <c r="I34" s="152">
        <v>0</v>
      </c>
      <c r="J34" s="152">
        <v>0</v>
      </c>
      <c r="K34" s="152">
        <v>1</v>
      </c>
      <c r="L34" s="105">
        <f t="shared" si="4"/>
        <v>33.869999999999997</v>
      </c>
      <c r="M34" s="105">
        <v>258.45999999999998</v>
      </c>
      <c r="N34" s="193">
        <v>0</v>
      </c>
      <c r="O34" s="194">
        <v>0</v>
      </c>
      <c r="P34" s="193">
        <v>0</v>
      </c>
      <c r="Q34" s="152">
        <v>0</v>
      </c>
      <c r="R34" s="154">
        <v>0</v>
      </c>
      <c r="S34" s="110">
        <v>1</v>
      </c>
      <c r="T34" s="105">
        <f t="shared" si="1"/>
        <v>32.76</v>
      </c>
      <c r="U34" s="110">
        <v>250</v>
      </c>
      <c r="V34" s="154">
        <v>1</v>
      </c>
      <c r="W34" s="154">
        <f t="shared" si="2"/>
        <v>32.76</v>
      </c>
      <c r="X34" s="154">
        <f t="shared" si="3"/>
        <v>1</v>
      </c>
      <c r="Y34" s="110">
        <f t="shared" si="5"/>
        <v>33.869999999999997</v>
      </c>
      <c r="Z34" s="152"/>
      <c r="AA34" s="152"/>
      <c r="AB34" s="195"/>
    </row>
    <row r="35" spans="1:28" s="124" customFormat="1" ht="18">
      <c r="A35" s="189" t="s">
        <v>474</v>
      </c>
      <c r="B35" s="181" t="s">
        <v>141</v>
      </c>
      <c r="C35" s="118">
        <v>31155</v>
      </c>
      <c r="D35" s="129" t="s">
        <v>218</v>
      </c>
      <c r="E35" s="118">
        <v>0</v>
      </c>
      <c r="F35" s="118">
        <v>0</v>
      </c>
      <c r="G35" s="118">
        <v>0</v>
      </c>
      <c r="H35" s="118">
        <v>0</v>
      </c>
      <c r="I35" s="118">
        <v>0</v>
      </c>
      <c r="J35" s="118">
        <v>0</v>
      </c>
      <c r="K35" s="118">
        <v>0</v>
      </c>
      <c r="L35" s="105">
        <f t="shared" si="4"/>
        <v>0</v>
      </c>
      <c r="M35" s="118">
        <v>0</v>
      </c>
      <c r="N35" s="118"/>
      <c r="O35" s="130"/>
      <c r="P35" s="118"/>
      <c r="Q35" s="118"/>
      <c r="R35" s="131"/>
      <c r="S35" s="110">
        <v>0</v>
      </c>
      <c r="T35" s="105">
        <f t="shared" si="1"/>
        <v>0</v>
      </c>
      <c r="U35" s="131">
        <v>0</v>
      </c>
      <c r="V35" s="131">
        <v>1</v>
      </c>
      <c r="W35" s="131">
        <v>0</v>
      </c>
      <c r="X35" s="131">
        <v>0</v>
      </c>
      <c r="Y35" s="131">
        <v>0</v>
      </c>
      <c r="Z35" s="196"/>
      <c r="AA35" s="196"/>
      <c r="AB35" s="196"/>
    </row>
    <row r="36" spans="1:28" s="104" customFormat="1" ht="18">
      <c r="A36" s="197">
        <v>51</v>
      </c>
      <c r="B36" s="183" t="s">
        <v>113</v>
      </c>
      <c r="C36" s="198"/>
      <c r="D36" s="199"/>
      <c r="E36" s="185"/>
      <c r="F36" s="185"/>
      <c r="G36" s="185"/>
      <c r="H36" s="185"/>
      <c r="I36" s="185"/>
      <c r="J36" s="185"/>
      <c r="K36" s="185"/>
      <c r="L36" s="185"/>
      <c r="M36" s="200">
        <f>SUM(M37:R45)</f>
        <v>21.059999999999995</v>
      </c>
      <c r="N36" s="185">
        <v>0</v>
      </c>
      <c r="O36" s="200">
        <v>0</v>
      </c>
      <c r="P36" s="185">
        <v>0</v>
      </c>
      <c r="Q36" s="185"/>
      <c r="R36" s="185"/>
      <c r="S36" s="185"/>
      <c r="T36" s="122"/>
      <c r="U36" s="200">
        <f>SUM(U37:U45)</f>
        <v>15.794999999999998</v>
      </c>
      <c r="V36" s="185"/>
      <c r="W36" s="186"/>
      <c r="X36" s="186"/>
      <c r="Y36" s="186"/>
      <c r="Z36" s="185"/>
      <c r="AA36" s="185"/>
      <c r="AB36" s="185"/>
    </row>
    <row r="37" spans="1:28" s="104" customFormat="1" ht="18">
      <c r="A37" s="189" t="s">
        <v>475</v>
      </c>
      <c r="B37" s="188" t="s">
        <v>144</v>
      </c>
      <c r="C37" s="158">
        <v>31155</v>
      </c>
      <c r="D37" s="201" t="s">
        <v>218</v>
      </c>
      <c r="E37" s="158">
        <v>0</v>
      </c>
      <c r="F37" s="158">
        <v>0</v>
      </c>
      <c r="G37" s="158">
        <v>0</v>
      </c>
      <c r="H37" s="158">
        <v>0</v>
      </c>
      <c r="I37" s="158">
        <v>0</v>
      </c>
      <c r="J37" s="158">
        <v>0</v>
      </c>
      <c r="K37" s="158">
        <v>1</v>
      </c>
      <c r="L37" s="105">
        <f t="shared" ref="L37:L45" si="6">ROUND(M37/$M$57*K37*100,2)</f>
        <v>0.46</v>
      </c>
      <c r="M37" s="158">
        <v>3.51</v>
      </c>
      <c r="N37" s="158">
        <v>0</v>
      </c>
      <c r="O37" s="202">
        <v>0</v>
      </c>
      <c r="P37" s="158">
        <v>0</v>
      </c>
      <c r="Q37" s="158">
        <v>0</v>
      </c>
      <c r="R37" s="112">
        <v>0</v>
      </c>
      <c r="S37" s="112">
        <v>1</v>
      </c>
      <c r="T37" s="105">
        <f t="shared" ref="T37:T45" si="7">ROUND(U37/$M$57*S37*100,2)</f>
        <v>0.46</v>
      </c>
      <c r="U37" s="101">
        <v>3.51</v>
      </c>
      <c r="V37" s="112">
        <v>0.1</v>
      </c>
      <c r="W37" s="112">
        <f t="shared" si="0"/>
        <v>4.6000000000000006E-2</v>
      </c>
      <c r="X37" s="112">
        <v>1</v>
      </c>
      <c r="Y37" s="110">
        <f t="shared" si="5"/>
        <v>0.46</v>
      </c>
      <c r="Z37" s="158"/>
      <c r="AA37" s="158"/>
      <c r="AB37" s="158"/>
    </row>
    <row r="38" spans="1:28" s="104" customFormat="1" ht="18">
      <c r="A38" s="189" t="s">
        <v>476</v>
      </c>
      <c r="B38" s="190" t="s">
        <v>145</v>
      </c>
      <c r="C38" s="158">
        <v>31155</v>
      </c>
      <c r="D38" s="107" t="s">
        <v>218</v>
      </c>
      <c r="E38" s="105">
        <v>0</v>
      </c>
      <c r="F38" s="105">
        <v>0</v>
      </c>
      <c r="G38" s="105">
        <v>0</v>
      </c>
      <c r="H38" s="105">
        <v>0</v>
      </c>
      <c r="I38" s="105">
        <v>0</v>
      </c>
      <c r="J38" s="105">
        <v>0</v>
      </c>
      <c r="K38" s="105">
        <v>1</v>
      </c>
      <c r="L38" s="105">
        <f t="shared" si="6"/>
        <v>0.46</v>
      </c>
      <c r="M38" s="105">
        <v>3.51</v>
      </c>
      <c r="N38" s="98">
        <v>0</v>
      </c>
      <c r="O38" s="125">
        <v>0</v>
      </c>
      <c r="P38" s="98">
        <v>0</v>
      </c>
      <c r="Q38" s="105">
        <v>0</v>
      </c>
      <c r="R38" s="110">
        <v>0</v>
      </c>
      <c r="S38" s="112">
        <v>0.5</v>
      </c>
      <c r="T38" s="105">
        <f t="shared" si="7"/>
        <v>0.12</v>
      </c>
      <c r="U38" s="108">
        <v>1.7549999999999999</v>
      </c>
      <c r="V38" s="105">
        <v>1</v>
      </c>
      <c r="W38" s="110">
        <f t="shared" si="0"/>
        <v>0.24</v>
      </c>
      <c r="X38" s="110">
        <v>1</v>
      </c>
      <c r="Y38" s="110">
        <f t="shared" si="5"/>
        <v>0.46</v>
      </c>
      <c r="Z38" s="105"/>
      <c r="AA38" s="105"/>
      <c r="AB38" s="105"/>
    </row>
    <row r="39" spans="1:28" s="104" customFormat="1" ht="18">
      <c r="A39" s="189" t="s">
        <v>477</v>
      </c>
      <c r="B39" s="190" t="s">
        <v>146</v>
      </c>
      <c r="C39" s="158">
        <v>31155</v>
      </c>
      <c r="D39" s="107" t="s">
        <v>218</v>
      </c>
      <c r="E39" s="105">
        <v>0</v>
      </c>
      <c r="F39" s="105">
        <v>0</v>
      </c>
      <c r="G39" s="105">
        <v>0</v>
      </c>
      <c r="H39" s="105">
        <v>0</v>
      </c>
      <c r="I39" s="105">
        <v>0</v>
      </c>
      <c r="J39" s="105">
        <v>0</v>
      </c>
      <c r="K39" s="105">
        <v>1</v>
      </c>
      <c r="L39" s="105">
        <f t="shared" si="6"/>
        <v>0.46</v>
      </c>
      <c r="M39" s="105">
        <v>3.51</v>
      </c>
      <c r="N39" s="98">
        <v>0</v>
      </c>
      <c r="O39" s="125">
        <v>0</v>
      </c>
      <c r="P39" s="98">
        <v>0</v>
      </c>
      <c r="Q39" s="105">
        <v>0</v>
      </c>
      <c r="R39" s="110">
        <v>0</v>
      </c>
      <c r="S39" s="112">
        <v>1</v>
      </c>
      <c r="T39" s="105">
        <f t="shared" si="7"/>
        <v>0.46</v>
      </c>
      <c r="U39" s="110">
        <v>3.51</v>
      </c>
      <c r="V39" s="110">
        <v>0.3</v>
      </c>
      <c r="W39" s="110">
        <f t="shared" si="0"/>
        <v>0.13800000000000001</v>
      </c>
      <c r="X39" s="110">
        <v>1</v>
      </c>
      <c r="Y39" s="110">
        <f t="shared" si="5"/>
        <v>0.46</v>
      </c>
      <c r="Z39" s="105"/>
      <c r="AA39" s="105"/>
      <c r="AB39" s="105"/>
    </row>
    <row r="40" spans="1:28" s="104" customFormat="1" ht="18">
      <c r="A40" s="189" t="s">
        <v>478</v>
      </c>
      <c r="B40" s="190" t="s">
        <v>147</v>
      </c>
      <c r="C40" s="158">
        <v>31155</v>
      </c>
      <c r="D40" s="107" t="s">
        <v>218</v>
      </c>
      <c r="E40" s="105">
        <v>0</v>
      </c>
      <c r="F40" s="105">
        <v>0</v>
      </c>
      <c r="G40" s="105">
        <v>0</v>
      </c>
      <c r="H40" s="105">
        <v>0</v>
      </c>
      <c r="I40" s="105">
        <v>0</v>
      </c>
      <c r="J40" s="105">
        <v>0</v>
      </c>
      <c r="K40" s="105">
        <v>0</v>
      </c>
      <c r="L40" s="105">
        <f t="shared" si="6"/>
        <v>0</v>
      </c>
      <c r="M40" s="105">
        <v>0</v>
      </c>
      <c r="N40" s="98">
        <v>0</v>
      </c>
      <c r="O40" s="125">
        <v>0</v>
      </c>
      <c r="P40" s="98">
        <v>0</v>
      </c>
      <c r="Q40" s="105"/>
      <c r="R40" s="110"/>
      <c r="S40" s="112">
        <v>0</v>
      </c>
      <c r="T40" s="105">
        <f t="shared" si="7"/>
        <v>0</v>
      </c>
      <c r="U40" s="110">
        <v>0</v>
      </c>
      <c r="V40" s="105">
        <v>0</v>
      </c>
      <c r="W40" s="110">
        <v>0</v>
      </c>
      <c r="X40" s="110">
        <v>0</v>
      </c>
      <c r="Y40" s="110">
        <v>0</v>
      </c>
      <c r="Z40" s="105"/>
      <c r="AA40" s="105"/>
      <c r="AB40" s="105"/>
    </row>
    <row r="41" spans="1:28" s="104" customFormat="1" ht="18">
      <c r="A41" s="189" t="s">
        <v>479</v>
      </c>
      <c r="B41" s="190" t="s">
        <v>114</v>
      </c>
      <c r="C41" s="158">
        <v>31155</v>
      </c>
      <c r="D41" s="107" t="s">
        <v>218</v>
      </c>
      <c r="E41" s="105">
        <v>0</v>
      </c>
      <c r="F41" s="105">
        <v>0</v>
      </c>
      <c r="G41" s="105">
        <v>0</v>
      </c>
      <c r="H41" s="105">
        <v>0</v>
      </c>
      <c r="I41" s="105">
        <v>0</v>
      </c>
      <c r="J41" s="105">
        <v>0</v>
      </c>
      <c r="K41" s="105">
        <v>1</v>
      </c>
      <c r="L41" s="105">
        <f t="shared" si="6"/>
        <v>0.46</v>
      </c>
      <c r="M41" s="105">
        <v>3.51</v>
      </c>
      <c r="N41" s="98">
        <v>0</v>
      </c>
      <c r="O41" s="125">
        <v>0</v>
      </c>
      <c r="P41" s="98">
        <v>0</v>
      </c>
      <c r="Q41" s="105">
        <v>0</v>
      </c>
      <c r="R41" s="110">
        <v>0</v>
      </c>
      <c r="S41" s="112">
        <v>0</v>
      </c>
      <c r="T41" s="105">
        <f t="shared" si="7"/>
        <v>0</v>
      </c>
      <c r="U41" s="110">
        <v>0</v>
      </c>
      <c r="V41" s="110">
        <v>1</v>
      </c>
      <c r="W41" s="110">
        <v>0</v>
      </c>
      <c r="X41" s="110">
        <f t="shared" ref="X41:X45" si="8">V41+Q41</f>
        <v>1</v>
      </c>
      <c r="Y41" s="110">
        <f t="shared" si="5"/>
        <v>0.46</v>
      </c>
      <c r="Z41" s="105"/>
      <c r="AA41" s="105"/>
      <c r="AB41" s="105"/>
    </row>
    <row r="42" spans="1:28" s="104" customFormat="1" ht="18">
      <c r="A42" s="189" t="s">
        <v>480</v>
      </c>
      <c r="B42" s="190" t="s">
        <v>148</v>
      </c>
      <c r="C42" s="158">
        <v>31155</v>
      </c>
      <c r="D42" s="107" t="s">
        <v>218</v>
      </c>
      <c r="E42" s="105">
        <v>0</v>
      </c>
      <c r="F42" s="105">
        <v>0</v>
      </c>
      <c r="G42" s="105">
        <v>0</v>
      </c>
      <c r="H42" s="105">
        <v>0</v>
      </c>
      <c r="I42" s="105">
        <v>0</v>
      </c>
      <c r="J42" s="105">
        <v>0</v>
      </c>
      <c r="K42" s="105">
        <v>1</v>
      </c>
      <c r="L42" s="105">
        <f t="shared" si="6"/>
        <v>0.46</v>
      </c>
      <c r="M42" s="105">
        <v>3.51</v>
      </c>
      <c r="N42" s="98">
        <v>0</v>
      </c>
      <c r="O42" s="125">
        <v>0</v>
      </c>
      <c r="P42" s="98">
        <v>0</v>
      </c>
      <c r="Q42" s="105">
        <v>0</v>
      </c>
      <c r="R42" s="110">
        <v>0</v>
      </c>
      <c r="S42" s="112">
        <v>1</v>
      </c>
      <c r="T42" s="105">
        <f t="shared" si="7"/>
        <v>0.46</v>
      </c>
      <c r="U42" s="110">
        <v>3.51</v>
      </c>
      <c r="V42" s="110">
        <v>0.1</v>
      </c>
      <c r="W42" s="110">
        <f t="shared" si="0"/>
        <v>4.6000000000000006E-2</v>
      </c>
      <c r="X42" s="110">
        <v>1</v>
      </c>
      <c r="Y42" s="110">
        <f t="shared" si="5"/>
        <v>0.46</v>
      </c>
      <c r="Z42" s="105"/>
      <c r="AA42" s="105"/>
      <c r="AB42" s="105"/>
    </row>
    <row r="43" spans="1:28" s="104" customFormat="1" ht="18">
      <c r="A43" s="189" t="s">
        <v>481</v>
      </c>
      <c r="B43" s="190" t="s">
        <v>149</v>
      </c>
      <c r="C43" s="158">
        <v>31155</v>
      </c>
      <c r="D43" s="107" t="s">
        <v>218</v>
      </c>
      <c r="E43" s="105">
        <v>0</v>
      </c>
      <c r="F43" s="105">
        <v>0</v>
      </c>
      <c r="G43" s="105">
        <v>0</v>
      </c>
      <c r="H43" s="105">
        <v>0</v>
      </c>
      <c r="I43" s="105">
        <v>0</v>
      </c>
      <c r="J43" s="105">
        <v>0</v>
      </c>
      <c r="K43" s="105">
        <v>0</v>
      </c>
      <c r="L43" s="105">
        <f t="shared" si="6"/>
        <v>0</v>
      </c>
      <c r="M43" s="105">
        <v>0</v>
      </c>
      <c r="N43" s="98">
        <v>0</v>
      </c>
      <c r="O43" s="125">
        <v>0</v>
      </c>
      <c r="P43" s="98">
        <v>0</v>
      </c>
      <c r="Q43" s="105">
        <v>0</v>
      </c>
      <c r="R43" s="110">
        <v>0</v>
      </c>
      <c r="S43" s="112">
        <v>0</v>
      </c>
      <c r="T43" s="105">
        <f t="shared" si="7"/>
        <v>0</v>
      </c>
      <c r="U43" s="110">
        <v>0</v>
      </c>
      <c r="V43" s="110">
        <v>0</v>
      </c>
      <c r="W43" s="110">
        <v>0</v>
      </c>
      <c r="X43" s="110">
        <f t="shared" si="8"/>
        <v>0</v>
      </c>
      <c r="Y43" s="110">
        <v>0</v>
      </c>
      <c r="Z43" s="105"/>
      <c r="AA43" s="105"/>
      <c r="AB43" s="105"/>
    </row>
    <row r="44" spans="1:28" s="104" customFormat="1" ht="18">
      <c r="A44" s="189" t="s">
        <v>482</v>
      </c>
      <c r="B44" s="190" t="s">
        <v>150</v>
      </c>
      <c r="C44" s="158">
        <v>31155</v>
      </c>
      <c r="D44" s="107" t="s">
        <v>218</v>
      </c>
      <c r="E44" s="105">
        <v>0</v>
      </c>
      <c r="F44" s="105">
        <v>0</v>
      </c>
      <c r="G44" s="105">
        <v>0</v>
      </c>
      <c r="H44" s="105">
        <v>0</v>
      </c>
      <c r="I44" s="105">
        <v>0</v>
      </c>
      <c r="J44" s="105">
        <v>0</v>
      </c>
      <c r="K44" s="105">
        <v>1</v>
      </c>
      <c r="L44" s="105">
        <f t="shared" si="6"/>
        <v>0.46</v>
      </c>
      <c r="M44" s="105">
        <v>3.51</v>
      </c>
      <c r="N44" s="98">
        <v>0</v>
      </c>
      <c r="O44" s="125">
        <v>0</v>
      </c>
      <c r="P44" s="98">
        <v>0</v>
      </c>
      <c r="Q44" s="105">
        <v>0</v>
      </c>
      <c r="R44" s="110">
        <v>0</v>
      </c>
      <c r="S44" s="112">
        <v>1</v>
      </c>
      <c r="T44" s="105">
        <f t="shared" si="7"/>
        <v>0.46</v>
      </c>
      <c r="U44" s="110">
        <v>3.51</v>
      </c>
      <c r="V44" s="110">
        <v>0.1</v>
      </c>
      <c r="W44" s="110">
        <f t="shared" si="0"/>
        <v>4.6000000000000006E-2</v>
      </c>
      <c r="X44" s="110">
        <v>1</v>
      </c>
      <c r="Y44" s="110">
        <f t="shared" si="5"/>
        <v>0.46</v>
      </c>
      <c r="Z44" s="105"/>
      <c r="AA44" s="105"/>
      <c r="AB44" s="105"/>
    </row>
    <row r="45" spans="1:28" s="104" customFormat="1" ht="18">
      <c r="A45" s="180" t="s">
        <v>483</v>
      </c>
      <c r="B45" s="181" t="s">
        <v>151</v>
      </c>
      <c r="C45" s="203">
        <v>31155</v>
      </c>
      <c r="D45" s="129" t="s">
        <v>218</v>
      </c>
      <c r="E45" s="118">
        <v>0</v>
      </c>
      <c r="F45" s="118">
        <v>0</v>
      </c>
      <c r="G45" s="118">
        <v>0</v>
      </c>
      <c r="H45" s="118">
        <v>0</v>
      </c>
      <c r="I45" s="118">
        <v>0</v>
      </c>
      <c r="J45" s="118">
        <v>0</v>
      </c>
      <c r="K45" s="118">
        <v>0</v>
      </c>
      <c r="L45" s="118">
        <f t="shared" si="6"/>
        <v>0</v>
      </c>
      <c r="M45" s="118">
        <v>0</v>
      </c>
      <c r="N45" s="185">
        <v>0</v>
      </c>
      <c r="O45" s="200">
        <v>0</v>
      </c>
      <c r="P45" s="185">
        <v>0</v>
      </c>
      <c r="Q45" s="118">
        <v>0</v>
      </c>
      <c r="R45" s="131">
        <v>0</v>
      </c>
      <c r="S45" s="204">
        <v>0</v>
      </c>
      <c r="T45" s="105">
        <f t="shared" si="7"/>
        <v>0</v>
      </c>
      <c r="U45" s="131">
        <v>0</v>
      </c>
      <c r="V45" s="131">
        <v>0</v>
      </c>
      <c r="W45" s="131">
        <v>0</v>
      </c>
      <c r="X45" s="131">
        <f t="shared" si="8"/>
        <v>0</v>
      </c>
      <c r="Y45" s="110">
        <v>0</v>
      </c>
      <c r="Z45" s="118"/>
      <c r="AA45" s="118"/>
      <c r="AB45" s="118"/>
    </row>
    <row r="46" spans="1:28" s="104" customFormat="1" ht="18">
      <c r="A46" s="197">
        <v>54</v>
      </c>
      <c r="B46" s="183" t="s">
        <v>21</v>
      </c>
      <c r="C46" s="185"/>
      <c r="D46" s="185"/>
      <c r="E46" s="185"/>
      <c r="F46" s="185"/>
      <c r="G46" s="185"/>
      <c r="H46" s="185">
        <v>0</v>
      </c>
      <c r="I46" s="185">
        <v>0</v>
      </c>
      <c r="J46" s="185">
        <v>0</v>
      </c>
      <c r="K46" s="185"/>
      <c r="L46" s="185"/>
      <c r="M46" s="185">
        <f>SUM(M47:M51)</f>
        <v>199.25</v>
      </c>
      <c r="N46" s="185"/>
      <c r="O46" s="200"/>
      <c r="P46" s="185"/>
      <c r="Q46" s="185"/>
      <c r="R46" s="186"/>
      <c r="S46" s="186"/>
      <c r="T46" s="122"/>
      <c r="U46" s="185">
        <f>SUM(U47:U51)</f>
        <v>199.25</v>
      </c>
      <c r="V46" s="186"/>
      <c r="W46" s="186"/>
      <c r="X46" s="186"/>
      <c r="Y46" s="186"/>
      <c r="Z46" s="185"/>
      <c r="AA46" s="185"/>
      <c r="AB46" s="185"/>
    </row>
    <row r="47" spans="1:28" s="104" customFormat="1" ht="18">
      <c r="A47" s="187" t="s">
        <v>484</v>
      </c>
      <c r="B47" s="188" t="s">
        <v>135</v>
      </c>
      <c r="C47" s="203">
        <v>31155</v>
      </c>
      <c r="D47" s="107" t="s">
        <v>218</v>
      </c>
      <c r="E47" s="158">
        <v>0</v>
      </c>
      <c r="F47" s="158">
        <v>0</v>
      </c>
      <c r="G47" s="158">
        <v>0</v>
      </c>
      <c r="H47" s="158">
        <v>0</v>
      </c>
      <c r="I47" s="158">
        <v>0</v>
      </c>
      <c r="J47" s="158">
        <v>0</v>
      </c>
      <c r="K47" s="98">
        <v>1</v>
      </c>
      <c r="L47" s="105">
        <f>ROUND(M47/$M$57*K47*100,2)</f>
        <v>2.52</v>
      </c>
      <c r="M47" s="98">
        <v>19.25</v>
      </c>
      <c r="N47" s="98">
        <v>0</v>
      </c>
      <c r="O47" s="125">
        <v>0</v>
      </c>
      <c r="P47" s="98">
        <v>0</v>
      </c>
      <c r="Q47" s="98">
        <v>0</v>
      </c>
      <c r="R47" s="101">
        <v>0</v>
      </c>
      <c r="S47" s="101">
        <v>1</v>
      </c>
      <c r="T47" s="105">
        <f t="shared" ref="T47:T50" si="9">ROUND(U47/$M$57*S47*100,2)</f>
        <v>2.52</v>
      </c>
      <c r="U47" s="101">
        <v>19.25</v>
      </c>
      <c r="V47" s="101">
        <v>1</v>
      </c>
      <c r="W47" s="101">
        <f t="shared" si="0"/>
        <v>2.52</v>
      </c>
      <c r="X47" s="101">
        <f t="shared" ref="X47:X51" si="10">V47+Q47</f>
        <v>1</v>
      </c>
      <c r="Y47" s="110">
        <f t="shared" ref="Y47:Y55" si="11">L47/K47*X47</f>
        <v>2.52</v>
      </c>
      <c r="Z47" s="98"/>
      <c r="AA47" s="98"/>
      <c r="AB47" s="98"/>
    </row>
    <row r="48" spans="1:28" ht="17.25">
      <c r="A48" s="189" t="s">
        <v>485</v>
      </c>
      <c r="B48" s="190" t="s">
        <v>136</v>
      </c>
      <c r="C48" s="98">
        <v>31155</v>
      </c>
      <c r="D48" s="107" t="s">
        <v>218</v>
      </c>
      <c r="E48" s="105">
        <v>0</v>
      </c>
      <c r="F48" s="105">
        <v>0</v>
      </c>
      <c r="G48" s="105">
        <v>0</v>
      </c>
      <c r="H48" s="105">
        <v>0</v>
      </c>
      <c r="I48" s="105">
        <v>0</v>
      </c>
      <c r="J48" s="105">
        <v>0</v>
      </c>
      <c r="K48" s="105">
        <v>1</v>
      </c>
      <c r="L48" s="105">
        <f>ROUND(M48/$M$57*K48*100,2)</f>
        <v>1.31</v>
      </c>
      <c r="M48" s="105">
        <v>10</v>
      </c>
      <c r="N48" s="105">
        <v>0</v>
      </c>
      <c r="O48" s="108">
        <v>0</v>
      </c>
      <c r="P48" s="105">
        <v>0</v>
      </c>
      <c r="Q48" s="105">
        <v>0</v>
      </c>
      <c r="R48" s="110">
        <v>0</v>
      </c>
      <c r="S48" s="110">
        <v>1</v>
      </c>
      <c r="T48" s="105">
        <f t="shared" si="9"/>
        <v>1.31</v>
      </c>
      <c r="U48" s="110">
        <v>10</v>
      </c>
      <c r="V48" s="110">
        <v>1</v>
      </c>
      <c r="W48" s="110">
        <f t="shared" si="0"/>
        <v>1.31</v>
      </c>
      <c r="X48" s="110">
        <f t="shared" si="10"/>
        <v>1</v>
      </c>
      <c r="Y48" s="110">
        <f t="shared" si="11"/>
        <v>1.31</v>
      </c>
      <c r="Z48" s="105"/>
      <c r="AA48" s="105"/>
      <c r="AB48" s="105"/>
    </row>
    <row r="49" spans="1:28" ht="17.25">
      <c r="A49" s="189" t="s">
        <v>486</v>
      </c>
      <c r="B49" s="190" t="s">
        <v>20</v>
      </c>
      <c r="C49" s="105">
        <v>31155</v>
      </c>
      <c r="D49" s="107" t="s">
        <v>218</v>
      </c>
      <c r="E49" s="105">
        <v>0</v>
      </c>
      <c r="F49" s="105">
        <v>0</v>
      </c>
      <c r="G49" s="105">
        <v>0</v>
      </c>
      <c r="H49" s="105">
        <v>0</v>
      </c>
      <c r="I49" s="105">
        <v>0</v>
      </c>
      <c r="J49" s="105">
        <v>0</v>
      </c>
      <c r="K49" s="105">
        <v>1</v>
      </c>
      <c r="L49" s="105">
        <f>ROUND(M49/$M$57*K49*100,2)</f>
        <v>3.28</v>
      </c>
      <c r="M49" s="105">
        <v>25</v>
      </c>
      <c r="N49" s="105">
        <v>0</v>
      </c>
      <c r="O49" s="108">
        <v>0</v>
      </c>
      <c r="P49" s="105">
        <v>0</v>
      </c>
      <c r="Q49" s="105">
        <v>0</v>
      </c>
      <c r="R49" s="110">
        <v>0</v>
      </c>
      <c r="S49" s="110">
        <v>1</v>
      </c>
      <c r="T49" s="105">
        <f t="shared" si="9"/>
        <v>3.28</v>
      </c>
      <c r="U49" s="108">
        <v>25</v>
      </c>
      <c r="V49" s="108">
        <v>1</v>
      </c>
      <c r="W49" s="110">
        <f t="shared" si="0"/>
        <v>3.28</v>
      </c>
      <c r="X49" s="110">
        <f t="shared" si="10"/>
        <v>1</v>
      </c>
      <c r="Y49" s="110">
        <f t="shared" si="11"/>
        <v>3.28</v>
      </c>
      <c r="Z49" s="105"/>
      <c r="AA49" s="105"/>
      <c r="AB49" s="105"/>
    </row>
    <row r="50" spans="1:28" ht="17.25">
      <c r="A50" s="189" t="s">
        <v>487</v>
      </c>
      <c r="B50" s="190" t="s">
        <v>19</v>
      </c>
      <c r="C50" s="105">
        <v>31155</v>
      </c>
      <c r="D50" s="107" t="s">
        <v>218</v>
      </c>
      <c r="E50" s="105">
        <v>0</v>
      </c>
      <c r="F50" s="105">
        <v>0</v>
      </c>
      <c r="G50" s="105">
        <v>0</v>
      </c>
      <c r="H50" s="105">
        <v>0</v>
      </c>
      <c r="I50" s="105">
        <v>0</v>
      </c>
      <c r="J50" s="105">
        <v>0</v>
      </c>
      <c r="K50" s="105">
        <v>1</v>
      </c>
      <c r="L50" s="105">
        <f>ROUND(M50/$M$57*K50*100,2)</f>
        <v>16.38</v>
      </c>
      <c r="M50" s="105">
        <v>125</v>
      </c>
      <c r="N50" s="105">
        <v>0</v>
      </c>
      <c r="O50" s="108">
        <v>0</v>
      </c>
      <c r="P50" s="105">
        <v>0</v>
      </c>
      <c r="Q50" s="105">
        <v>0</v>
      </c>
      <c r="R50" s="110">
        <v>0</v>
      </c>
      <c r="S50" s="110">
        <v>1</v>
      </c>
      <c r="T50" s="105">
        <f t="shared" si="9"/>
        <v>16.38</v>
      </c>
      <c r="U50" s="110">
        <v>125</v>
      </c>
      <c r="V50" s="110">
        <v>1</v>
      </c>
      <c r="W50" s="110">
        <f t="shared" si="0"/>
        <v>16.38</v>
      </c>
      <c r="X50" s="110">
        <f t="shared" si="10"/>
        <v>1</v>
      </c>
      <c r="Y50" s="110">
        <f t="shared" si="11"/>
        <v>16.38</v>
      </c>
      <c r="Z50" s="105"/>
      <c r="AA50" s="105"/>
      <c r="AB50" s="105"/>
    </row>
    <row r="51" spans="1:28" ht="17.25">
      <c r="A51" s="189" t="s">
        <v>488</v>
      </c>
      <c r="B51" s="181" t="s">
        <v>137</v>
      </c>
      <c r="C51" s="105">
        <v>31155</v>
      </c>
      <c r="D51" s="107" t="s">
        <v>218</v>
      </c>
      <c r="E51" s="105">
        <v>0</v>
      </c>
      <c r="F51" s="105">
        <v>0</v>
      </c>
      <c r="G51" s="105">
        <v>0</v>
      </c>
      <c r="H51" s="105">
        <v>0</v>
      </c>
      <c r="I51" s="105">
        <v>0</v>
      </c>
      <c r="J51" s="105">
        <v>0</v>
      </c>
      <c r="K51" s="105">
        <v>1</v>
      </c>
      <c r="L51" s="105">
        <f>ROUND(M51/$M$57*K51*100,2)</f>
        <v>2.62</v>
      </c>
      <c r="M51" s="105">
        <v>20</v>
      </c>
      <c r="N51" s="105">
        <v>0</v>
      </c>
      <c r="O51" s="108">
        <v>0</v>
      </c>
      <c r="P51" s="105">
        <v>0</v>
      </c>
      <c r="Q51" s="105">
        <v>0</v>
      </c>
      <c r="R51" s="110">
        <v>0</v>
      </c>
      <c r="S51" s="110">
        <v>1</v>
      </c>
      <c r="T51" s="105">
        <f>ROUND(U51/$M$57*S51*100,2)</f>
        <v>2.62</v>
      </c>
      <c r="U51" s="110">
        <v>20</v>
      </c>
      <c r="V51" s="110">
        <v>1</v>
      </c>
      <c r="W51" s="110">
        <f t="shared" si="0"/>
        <v>2.62</v>
      </c>
      <c r="X51" s="110">
        <f t="shared" si="10"/>
        <v>1</v>
      </c>
      <c r="Y51" s="110">
        <f t="shared" si="11"/>
        <v>2.62</v>
      </c>
      <c r="Z51" s="105"/>
      <c r="AA51" s="105"/>
      <c r="AB51" s="105"/>
    </row>
    <row r="52" spans="1:28" ht="34.5">
      <c r="A52" s="197">
        <v>56</v>
      </c>
      <c r="B52" s="183" t="s">
        <v>157</v>
      </c>
      <c r="C52" s="105"/>
      <c r="D52" s="105"/>
      <c r="E52" s="105"/>
      <c r="F52" s="105"/>
      <c r="G52" s="105"/>
      <c r="H52" s="105">
        <v>0</v>
      </c>
      <c r="I52" s="105">
        <v>0</v>
      </c>
      <c r="J52" s="105">
        <v>0</v>
      </c>
      <c r="K52" s="105"/>
      <c r="L52" s="105"/>
      <c r="M52" s="105">
        <f>SUM(M53:M56)</f>
        <v>213.5</v>
      </c>
      <c r="N52" s="105"/>
      <c r="O52" s="108"/>
      <c r="P52" s="105"/>
      <c r="Q52" s="105"/>
      <c r="R52" s="110"/>
      <c r="S52" s="110"/>
      <c r="T52" s="109"/>
      <c r="U52" s="105">
        <f>SUM(U53:U56)</f>
        <v>211.5</v>
      </c>
      <c r="V52" s="110"/>
      <c r="W52" s="110"/>
      <c r="X52" s="110"/>
      <c r="Y52" s="110"/>
      <c r="Z52" s="105"/>
      <c r="AA52" s="105"/>
      <c r="AB52" s="105"/>
    </row>
    <row r="53" spans="1:28" ht="17.25">
      <c r="A53" s="189" t="s">
        <v>489</v>
      </c>
      <c r="B53" s="188" t="s">
        <v>152</v>
      </c>
      <c r="C53" s="105">
        <v>31155</v>
      </c>
      <c r="D53" s="107" t="s">
        <v>218</v>
      </c>
      <c r="E53" s="105">
        <v>0</v>
      </c>
      <c r="F53" s="105">
        <v>0</v>
      </c>
      <c r="G53" s="105">
        <v>0</v>
      </c>
      <c r="H53" s="105">
        <v>0</v>
      </c>
      <c r="I53" s="105">
        <v>0</v>
      </c>
      <c r="J53" s="105">
        <v>0</v>
      </c>
      <c r="K53" s="105">
        <v>1</v>
      </c>
      <c r="L53" s="105">
        <f>ROUND(M53/$M$57*K53*100,2)</f>
        <v>0.2</v>
      </c>
      <c r="M53" s="105">
        <v>1.5</v>
      </c>
      <c r="N53" s="105">
        <v>0</v>
      </c>
      <c r="O53" s="108">
        <v>0</v>
      </c>
      <c r="P53" s="105">
        <v>0</v>
      </c>
      <c r="Q53" s="105">
        <v>0</v>
      </c>
      <c r="R53" s="110">
        <v>0</v>
      </c>
      <c r="S53" s="110">
        <v>0.34</v>
      </c>
      <c r="T53" s="105">
        <f>ROUND(U53/$M$57*S53*100,2)</f>
        <v>0.02</v>
      </c>
      <c r="U53" s="110">
        <v>0.5</v>
      </c>
      <c r="V53" s="110">
        <v>0.2</v>
      </c>
      <c r="W53" s="110">
        <f t="shared" si="0"/>
        <v>1.1764705882352941E-2</v>
      </c>
      <c r="X53" s="110">
        <v>1</v>
      </c>
      <c r="Y53" s="110">
        <f t="shared" si="11"/>
        <v>0.2</v>
      </c>
      <c r="Z53" s="105"/>
      <c r="AA53" s="105"/>
      <c r="AB53" s="105"/>
    </row>
    <row r="54" spans="1:28" ht="17.25">
      <c r="A54" s="189" t="s">
        <v>490</v>
      </c>
      <c r="B54" s="190" t="s">
        <v>153</v>
      </c>
      <c r="C54" s="105">
        <v>31155</v>
      </c>
      <c r="D54" s="107" t="s">
        <v>218</v>
      </c>
      <c r="E54" s="105">
        <v>0</v>
      </c>
      <c r="F54" s="105">
        <v>0</v>
      </c>
      <c r="G54" s="105">
        <v>0</v>
      </c>
      <c r="H54" s="105">
        <v>0</v>
      </c>
      <c r="I54" s="105">
        <v>0</v>
      </c>
      <c r="J54" s="105">
        <v>0</v>
      </c>
      <c r="K54" s="105">
        <v>1</v>
      </c>
      <c r="L54" s="105">
        <f>ROUND(M54/$M$57*K54*100,2)</f>
        <v>0.26</v>
      </c>
      <c r="M54" s="105">
        <v>2</v>
      </c>
      <c r="N54" s="105">
        <v>0</v>
      </c>
      <c r="O54" s="108">
        <v>0</v>
      </c>
      <c r="P54" s="105">
        <v>0</v>
      </c>
      <c r="Q54" s="105">
        <v>0</v>
      </c>
      <c r="R54" s="110">
        <v>0</v>
      </c>
      <c r="S54" s="110">
        <v>0.5</v>
      </c>
      <c r="T54" s="105">
        <f>ROUND(U54/$M$57*S54*100,2)</f>
        <v>7.0000000000000007E-2</v>
      </c>
      <c r="U54" s="110">
        <v>1</v>
      </c>
      <c r="V54" s="110">
        <v>0.5</v>
      </c>
      <c r="W54" s="110">
        <f t="shared" si="0"/>
        <v>7.0000000000000007E-2</v>
      </c>
      <c r="X54" s="110">
        <v>1</v>
      </c>
      <c r="Y54" s="110">
        <f t="shared" si="11"/>
        <v>0.26</v>
      </c>
      <c r="Z54" s="105"/>
      <c r="AA54" s="105"/>
      <c r="AB54" s="105"/>
    </row>
    <row r="55" spans="1:28" ht="34.5">
      <c r="A55" s="189" t="s">
        <v>491</v>
      </c>
      <c r="B55" s="114" t="s">
        <v>154</v>
      </c>
      <c r="C55" s="105">
        <v>31155</v>
      </c>
      <c r="D55" s="107" t="s">
        <v>218</v>
      </c>
      <c r="E55" s="105">
        <v>0</v>
      </c>
      <c r="F55" s="105">
        <v>0</v>
      </c>
      <c r="G55" s="105">
        <v>0</v>
      </c>
      <c r="H55" s="105">
        <v>0</v>
      </c>
      <c r="I55" s="105">
        <v>0</v>
      </c>
      <c r="J55" s="105">
        <v>0</v>
      </c>
      <c r="K55" s="105">
        <v>1</v>
      </c>
      <c r="L55" s="105">
        <f>ROUND(M55/$M$57*K55*100,2)</f>
        <v>27.52</v>
      </c>
      <c r="M55" s="105">
        <v>210</v>
      </c>
      <c r="N55" s="105">
        <v>0</v>
      </c>
      <c r="O55" s="108">
        <v>0</v>
      </c>
      <c r="P55" s="105">
        <v>0</v>
      </c>
      <c r="Q55" s="105">
        <v>0</v>
      </c>
      <c r="R55" s="110">
        <v>0</v>
      </c>
      <c r="S55" s="110">
        <v>1</v>
      </c>
      <c r="T55" s="105">
        <f>ROUND(U55/$M$57*S55*100,2)</f>
        <v>27.52</v>
      </c>
      <c r="U55" s="110">
        <v>210</v>
      </c>
      <c r="V55" s="110">
        <v>0.6</v>
      </c>
      <c r="W55" s="110">
        <f t="shared" si="0"/>
        <v>16.512</v>
      </c>
      <c r="X55" s="110">
        <v>0.85</v>
      </c>
      <c r="Y55" s="110">
        <f t="shared" si="11"/>
        <v>23.391999999999999</v>
      </c>
      <c r="Z55" s="105"/>
      <c r="AA55" s="105"/>
      <c r="AB55" s="105"/>
    </row>
    <row r="56" spans="1:28" ht="17.25">
      <c r="A56" s="189" t="s">
        <v>492</v>
      </c>
      <c r="B56" s="114" t="s">
        <v>155</v>
      </c>
      <c r="C56" s="105">
        <v>31155</v>
      </c>
      <c r="D56" s="107" t="s">
        <v>218</v>
      </c>
      <c r="E56" s="105">
        <v>0</v>
      </c>
      <c r="F56" s="105">
        <v>0</v>
      </c>
      <c r="G56" s="105">
        <v>0</v>
      </c>
      <c r="H56" s="105">
        <v>0</v>
      </c>
      <c r="I56" s="105">
        <v>0</v>
      </c>
      <c r="J56" s="105">
        <v>0</v>
      </c>
      <c r="K56" s="105">
        <v>0</v>
      </c>
      <c r="L56" s="105">
        <f>ROUND(M56/$M$57*K56*100,2)</f>
        <v>0</v>
      </c>
      <c r="M56" s="105">
        <v>0</v>
      </c>
      <c r="N56" s="105">
        <v>0</v>
      </c>
      <c r="O56" s="108">
        <v>0</v>
      </c>
      <c r="P56" s="105">
        <v>0</v>
      </c>
      <c r="Q56" s="105">
        <v>0</v>
      </c>
      <c r="R56" s="110">
        <v>0</v>
      </c>
      <c r="S56" s="131">
        <v>0</v>
      </c>
      <c r="T56" s="105">
        <f>ROUND(U56/$U$57*S56*100,2)</f>
        <v>0</v>
      </c>
      <c r="U56" s="110">
        <v>0</v>
      </c>
      <c r="V56" s="110">
        <v>0</v>
      </c>
      <c r="W56" s="110">
        <v>0</v>
      </c>
      <c r="X56" s="110">
        <f t="shared" ref="X56" si="12">V56+Q56</f>
        <v>0</v>
      </c>
      <c r="Y56" s="110">
        <v>0</v>
      </c>
      <c r="Z56" s="105"/>
      <c r="AA56" s="105"/>
      <c r="AB56" s="105"/>
    </row>
    <row r="57" spans="1:28" ht="15">
      <c r="A57" s="160" t="s">
        <v>452</v>
      </c>
      <c r="B57" s="205" t="s">
        <v>453</v>
      </c>
      <c r="C57" s="162"/>
      <c r="D57" s="162"/>
      <c r="E57" s="160"/>
      <c r="F57" s="163">
        <v>0</v>
      </c>
      <c r="G57" s="163">
        <v>0</v>
      </c>
      <c r="H57" s="164">
        <f>SUM(H22:H22)</f>
        <v>0</v>
      </c>
      <c r="I57" s="163" t="e">
        <f>#REF!+#REF!+#REF!+#REF!+#REF!+#REF!+#REF!+#REF!+#REF!+#REF!+#REF!+#REF!+#REF!+#REF!+#REF!+#REF!+#REF!+#REF!+#REF!+#REF!+#REF!+#REF!+#REF!+#REF!+#REF!+#REF!+#REF!+#REF!+#REF!+#REF!+#REF!+#REF!+#REF!+#REF!+#REF!+#REF!+#REF!+#REF!+#REF!+#REF!+#REF!+#REF!+#REF!+#REF!+#REF!+#REF!+#REF!+#REF!+#REF!+#REF!+#REF!+#REF!+#REF!+#REF!+#REF!+#REF!+#REF!+#REF!+#REF!+#REF!+#REF!+#REF!+#REF!+#REF!+#REF!+#REF!+#REF!+#REF!+I56+I55+I54+I53+I52+I51+I50+I49+I48+I47+I46+I45+I44+I43+I42+I41+I39+I37+I34+I33+I32+I31+I30+I29+I28+I27+I26+I25+I24+#REF!+I22+I21</f>
        <v>#REF!</v>
      </c>
      <c r="J57" s="163" t="e">
        <f>#REF!+#REF!+#REF!+#REF!+#REF!+#REF!+#REF!+#REF!+#REF!+#REF!+#REF!+#REF!+#REF!+#REF!+#REF!+#REF!+#REF!+#REF!+#REF!+#REF!+#REF!+#REF!+#REF!+#REF!+#REF!+#REF!+#REF!+#REF!+#REF!+#REF!+#REF!+#REF!+#REF!+#REF!+#REF!+#REF!+#REF!+#REF!+#REF!+#REF!+#REF!+#REF!+#REF!+#REF!+#REF!+#REF!+#REF!+#REF!+#REF!+#REF!+#REF!+#REF!+#REF!+#REF!+#REF!+#REF!+#REF!+#REF!+#REF!+#REF!+#REF!+#REF!+#REF!+#REF!+#REF!+#REF!+#REF!+#REF!+J56+J55+J54+J53+J52+J51+J50+J49+J48+J47+J46+J45+J44+J43+J42+J41+J39+J37+J34+J33+J32+J31+J30+J29+J28+J27+J26+J25+J24+#REF!+J22+J21</f>
        <v>#REF!</v>
      </c>
      <c r="K57" s="164"/>
      <c r="L57" s="163">
        <f>ROUNDUP(SUM(L22:L56),0)</f>
        <v>100</v>
      </c>
      <c r="M57" s="163">
        <f>M52+M46+M36+M23+M21</f>
        <v>763.03</v>
      </c>
      <c r="N57" s="164"/>
      <c r="O57" s="163" t="e">
        <f>#REF!+#REF!+#REF!+#REF!+#REF!+#REF!+#REF!+#REF!+#REF!+#REF!+#REF!+#REF!+#REF!+#REF!+#REF!+#REF!+#REF!+#REF!+#REF!+#REF!+#REF!+#REF!+#REF!+#REF!+#REF!+#REF!+#REF!+#REF!+#REF!+#REF!+#REF!+#REF!+#REF!+#REF!+#REF!+#REF!+#REF!+#REF!+#REF!+#REF!+#REF!+#REF!+#REF!+#REF!+#REF!+#REF!+#REF!+#REF!+#REF!+#REF!+#REF!+#REF!+#REF!+#REF!+#REF!+#REF!+#REF!+#REF!+#REF!+#REF!+#REF!+#REF!+#REF!+#REF!+#REF!+#REF!+#REF!+#REF!+O56+O55+O54+O53+O52+O51+O50+O49+O48+O47+O46+O45+O44+O43+O42+O41+O39+O37+O34+O33+O32+O31+O30+O29+O28+O27+O26+O25+O24+#REF!+O22+O21</f>
        <v>#REF!</v>
      </c>
      <c r="P57" s="163" t="e">
        <f>#REF!+#REF!+#REF!+#REF!+#REF!+#REF!+#REF!+#REF!+#REF!+#REF!+#REF!+#REF!+#REF!+#REF!+#REF!+#REF!+#REF!+#REF!+#REF!+#REF!+#REF!+#REF!+#REF!+#REF!+#REF!+#REF!+#REF!+#REF!+#REF!+#REF!+#REF!+#REF!+#REF!+#REF!+#REF!+#REF!+#REF!+#REF!+#REF!+#REF!+#REF!+#REF!+#REF!+#REF!+#REF!+#REF!+#REF!+#REF!+#REF!+#REF!+#REF!+#REF!+#REF!+#REF!+#REF!+#REF!+#REF!+#REF!+#REF!+#REF!+#REF!+#REF!+#REF!+#REF!+#REF!+#REF!+#REF!+#REF!+P56+P55+P54+P53+P52+P51+P50+P49+P48+P47+P46+P45+P44+P43+P42+P41+P39+P37+P34+P33+P32+P31+P30+P29+P28+P27+P26+P25+P24+#REF!+P22+P21</f>
        <v>#REF!</v>
      </c>
      <c r="Q57" s="163"/>
      <c r="R57" s="163" t="e">
        <f>#REF!+#REF!+#REF!+#REF!+#REF!+#REF!+#REF!+#REF!+#REF!+#REF!+#REF!+#REF!+#REF!+#REF!+#REF!+#REF!+#REF!+#REF!+#REF!+#REF!+#REF!+#REF!+#REF!+#REF!+#REF!+#REF!+#REF!+#REF!+#REF!+#REF!+#REF!+#REF!+#REF!+#REF!+#REF!+#REF!+#REF!+#REF!+#REF!+#REF!+#REF!+#REF!+#REF!+#REF!+#REF!+#REF!+#REF!+#REF!+#REF!+#REF!+#REF!+#REF!+#REF!+#REF!+#REF!+#REF!+#REF!+#REF!+#REF!+#REF!+#REF!+#REF!+#REF!+#REF!+#REF!+#REF!+#REF!+#REF!+R56+R55+R54+R53+R52+R51+R50+R49+R48+R47+R46+R45+R44+R43+R42+R41+R39+R37+R34+R33+R32+R31+R30+R29+R28+R27+R26+R25+R24+#REF!+R22+R21</f>
        <v>#REF!</v>
      </c>
      <c r="S57" s="163"/>
      <c r="T57" s="163">
        <f>ROUND(SUM(T22:T56),0)</f>
        <v>95</v>
      </c>
      <c r="U57" s="163">
        <f>U52+U46+U36+U23+U21</f>
        <v>730.38499999999999</v>
      </c>
      <c r="V57" s="163"/>
      <c r="W57" s="163">
        <f>SUM(W21:W56)</f>
        <v>82.183764705882353</v>
      </c>
      <c r="X57" s="163"/>
      <c r="Y57" s="163">
        <f>SUM(Y21:Y56)</f>
        <v>94.762000000000015</v>
      </c>
      <c r="Z57" s="160"/>
      <c r="AA57" s="160"/>
      <c r="AB57" s="160"/>
    </row>
    <row r="58" spans="1:28" ht="15" hidden="1">
      <c r="A58" s="160"/>
      <c r="B58" s="205" t="s">
        <v>493</v>
      </c>
      <c r="C58" s="162"/>
      <c r="D58" s="162"/>
      <c r="E58" s="160"/>
      <c r="F58" s="163"/>
      <c r="G58" s="163"/>
      <c r="H58" s="164"/>
      <c r="I58" s="163"/>
      <c r="J58" s="163"/>
      <c r="K58" s="164"/>
      <c r="L58" s="163"/>
      <c r="M58" s="163">
        <v>0.89</v>
      </c>
      <c r="N58" s="164"/>
      <c r="O58" s="163"/>
      <c r="P58" s="163"/>
      <c r="Q58" s="163"/>
      <c r="R58" s="163"/>
      <c r="S58" s="163"/>
      <c r="T58" s="163"/>
      <c r="U58" s="163">
        <v>0.43</v>
      </c>
      <c r="V58" s="163"/>
      <c r="W58" s="163"/>
      <c r="X58" s="163"/>
      <c r="Y58" s="163"/>
      <c r="Z58" s="160"/>
      <c r="AA58" s="160"/>
      <c r="AB58" s="160"/>
    </row>
    <row r="59" spans="1:28" ht="15" hidden="1">
      <c r="A59" s="160"/>
      <c r="B59" s="206" t="s">
        <v>165</v>
      </c>
      <c r="C59" s="166"/>
      <c r="D59" s="166"/>
      <c r="E59" s="160"/>
      <c r="F59" s="164">
        <v>0</v>
      </c>
      <c r="G59" s="164">
        <v>0</v>
      </c>
      <c r="H59" s="164">
        <f t="shared" ref="H59:Y59" si="13">H57</f>
        <v>0</v>
      </c>
      <c r="I59" s="164" t="e">
        <f t="shared" si="13"/>
        <v>#REF!</v>
      </c>
      <c r="J59" s="164" t="e">
        <f t="shared" si="13"/>
        <v>#REF!</v>
      </c>
      <c r="K59" s="164"/>
      <c r="L59" s="164">
        <f t="shared" si="13"/>
        <v>100</v>
      </c>
      <c r="M59" s="163">
        <f>SUM(M57:M58)</f>
        <v>763.92</v>
      </c>
      <c r="N59" s="164">
        <f t="shared" si="13"/>
        <v>0</v>
      </c>
      <c r="O59" s="164" t="e">
        <f t="shared" si="13"/>
        <v>#REF!</v>
      </c>
      <c r="P59" s="164" t="e">
        <f t="shared" si="13"/>
        <v>#REF!</v>
      </c>
      <c r="Q59" s="164">
        <f t="shared" si="13"/>
        <v>0</v>
      </c>
      <c r="R59" s="164" t="e">
        <f t="shared" si="13"/>
        <v>#REF!</v>
      </c>
      <c r="S59" s="164"/>
      <c r="T59" s="164">
        <f t="shared" si="13"/>
        <v>95</v>
      </c>
      <c r="U59" s="163">
        <f>SUM(U57:U58)</f>
        <v>730.81499999999994</v>
      </c>
      <c r="V59" s="164">
        <f t="shared" si="13"/>
        <v>0</v>
      </c>
      <c r="W59" s="163">
        <f t="shared" si="13"/>
        <v>82.183764705882353</v>
      </c>
      <c r="X59" s="164">
        <f t="shared" si="13"/>
        <v>0</v>
      </c>
      <c r="Y59" s="163">
        <f t="shared" si="13"/>
        <v>94.762000000000015</v>
      </c>
      <c r="Z59" s="160"/>
      <c r="AA59" s="160"/>
      <c r="AB59" s="160"/>
    </row>
    <row r="60" spans="1:28" ht="15">
      <c r="A60" s="167"/>
      <c r="B60" s="167"/>
      <c r="C60" s="168"/>
      <c r="D60" s="168"/>
      <c r="E60" s="168"/>
      <c r="F60" s="168"/>
      <c r="G60" s="168"/>
      <c r="H60" s="168"/>
      <c r="I60" s="168"/>
      <c r="J60" s="168"/>
      <c r="K60" s="169"/>
      <c r="L60" s="590"/>
      <c r="M60" s="590"/>
      <c r="N60" s="170"/>
      <c r="O60" s="169"/>
      <c r="P60" s="169"/>
      <c r="Q60" s="169"/>
      <c r="R60" s="169"/>
      <c r="S60" s="169"/>
      <c r="T60" s="169"/>
      <c r="U60" s="169"/>
      <c r="V60" s="169"/>
      <c r="W60" s="168"/>
      <c r="X60" s="168"/>
      <c r="Y60" s="167"/>
      <c r="Z60" s="167"/>
      <c r="AA60" s="167"/>
      <c r="AB60" s="167"/>
    </row>
    <row r="61" spans="1:28">
      <c r="A61" s="167"/>
      <c r="B61" s="167"/>
      <c r="C61" s="167"/>
      <c r="D61" s="167"/>
      <c r="E61" s="167"/>
      <c r="F61" s="167"/>
      <c r="G61" s="167"/>
      <c r="H61" s="167"/>
      <c r="I61" s="167"/>
      <c r="J61" s="167"/>
      <c r="K61" s="171"/>
      <c r="L61" s="171"/>
      <c r="M61" s="171"/>
      <c r="N61" s="171"/>
      <c r="O61" s="171"/>
      <c r="P61" s="171"/>
      <c r="Q61" s="171"/>
      <c r="R61" s="171"/>
      <c r="S61" s="171"/>
      <c r="T61" s="171"/>
      <c r="U61" s="171"/>
      <c r="V61" s="171"/>
      <c r="W61" s="167"/>
      <c r="X61" s="167"/>
      <c r="Y61" s="167"/>
      <c r="Z61" s="167"/>
      <c r="AA61" s="167"/>
      <c r="AB61" s="167"/>
    </row>
    <row r="62" spans="1:28">
      <c r="A62" s="167"/>
      <c r="B62" s="167"/>
      <c r="C62" s="167"/>
      <c r="D62" s="167"/>
      <c r="E62" s="167"/>
      <c r="F62" s="167"/>
      <c r="G62" s="167"/>
      <c r="H62" s="167"/>
      <c r="I62" s="167"/>
      <c r="J62" s="167"/>
      <c r="K62" s="171"/>
      <c r="L62" s="171"/>
      <c r="M62" s="171"/>
      <c r="N62" s="171"/>
      <c r="O62" s="171"/>
      <c r="P62" s="171"/>
      <c r="Q62" s="171"/>
      <c r="R62" s="171"/>
      <c r="S62" s="171"/>
      <c r="T62" s="171"/>
      <c r="U62" s="171"/>
      <c r="V62" s="171"/>
      <c r="W62" s="167"/>
      <c r="X62" s="167"/>
      <c r="Y62" s="167"/>
      <c r="Z62" s="167"/>
      <c r="AA62" s="167"/>
      <c r="AB62" s="167"/>
    </row>
    <row r="63" spans="1:28">
      <c r="A63" s="167"/>
      <c r="B63" s="172" t="s">
        <v>454</v>
      </c>
      <c r="C63" s="172"/>
      <c r="D63" s="172"/>
      <c r="E63" s="172"/>
      <c r="F63" s="172"/>
      <c r="G63" s="172"/>
      <c r="H63" s="172"/>
      <c r="I63" s="172"/>
      <c r="J63" s="172"/>
      <c r="K63" s="173"/>
      <c r="L63" s="174"/>
      <c r="M63" s="174"/>
      <c r="N63" s="174"/>
      <c r="O63" s="174"/>
      <c r="P63" s="174"/>
      <c r="Q63" s="174" t="s">
        <v>455</v>
      </c>
      <c r="R63" s="174"/>
      <c r="S63" s="174"/>
      <c r="T63" s="174"/>
      <c r="U63" s="174"/>
      <c r="V63" s="174"/>
      <c r="W63" s="172"/>
      <c r="X63" s="172"/>
      <c r="Y63" s="172"/>
      <c r="AB63" s="175"/>
    </row>
    <row r="64" spans="1:28">
      <c r="A64" s="167"/>
      <c r="B64" s="172" t="s">
        <v>456</v>
      </c>
      <c r="C64" s="167"/>
      <c r="D64" s="167"/>
      <c r="E64" s="167"/>
      <c r="F64" s="167"/>
      <c r="G64" s="167"/>
      <c r="H64" s="167"/>
      <c r="I64" s="167"/>
      <c r="J64" s="167"/>
      <c r="K64" s="171"/>
      <c r="L64" s="171"/>
      <c r="M64" s="171"/>
      <c r="N64" s="171"/>
      <c r="O64" s="171"/>
      <c r="P64" s="171"/>
      <c r="Q64" s="174" t="s">
        <v>456</v>
      </c>
      <c r="R64" s="171"/>
      <c r="S64" s="171"/>
      <c r="T64" s="171"/>
      <c r="U64" s="171"/>
      <c r="V64" s="171"/>
      <c r="W64" s="167"/>
      <c r="X64" s="167"/>
      <c r="Y64" s="167"/>
      <c r="Z64" s="167"/>
      <c r="AA64" s="167"/>
      <c r="AB64" s="167"/>
    </row>
  </sheetData>
  <mergeCells count="21">
    <mergeCell ref="A1:AB1"/>
    <mergeCell ref="A3:AB3"/>
    <mergeCell ref="X4:Y4"/>
    <mergeCell ref="C11:D11"/>
    <mergeCell ref="C12:D12"/>
    <mergeCell ref="X17:Y17"/>
    <mergeCell ref="Z17:AA17"/>
    <mergeCell ref="AB17:AB18"/>
    <mergeCell ref="A20:B20"/>
    <mergeCell ref="L60:M60"/>
    <mergeCell ref="H17:J17"/>
    <mergeCell ref="K17:M17"/>
    <mergeCell ref="N17:P17"/>
    <mergeCell ref="Q17:R17"/>
    <mergeCell ref="S17:U17"/>
    <mergeCell ref="V17:W17"/>
    <mergeCell ref="A17:A18"/>
    <mergeCell ref="B17:B18"/>
    <mergeCell ref="C17:C18"/>
    <mergeCell ref="D17:D18"/>
    <mergeCell ref="E17:G17"/>
  </mergeCells>
  <printOptions horizontalCentered="1" verticalCentered="1"/>
  <pageMargins left="0.27" right="0.2" top="0.39" bottom="0.91" header="0.24" footer="0.2"/>
  <pageSetup scale="63" fitToHeight="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64"/>
  <sheetViews>
    <sheetView topLeftCell="A66" workbookViewId="0">
      <selection activeCell="L25" sqref="L25"/>
    </sheetView>
  </sheetViews>
  <sheetFormatPr defaultRowHeight="12.75"/>
  <cols>
    <col min="1" max="1" width="12.42578125" customWidth="1"/>
    <col min="2" max="2" width="54.28515625" customWidth="1"/>
    <col min="8" max="10" width="0" hidden="1" customWidth="1"/>
    <col min="14" max="18" width="0" hidden="1" customWidth="1"/>
    <col min="24" max="24" width="13.28515625" customWidth="1"/>
  </cols>
  <sheetData>
    <row r="1" spans="1:28" ht="15" customHeight="1">
      <c r="A1" s="585" t="s">
        <v>173</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row>
    <row r="2" spans="1:28" ht="4.1500000000000004" customHeight="1"/>
    <row r="3" spans="1:28" ht="14.45" customHeight="1">
      <c r="A3" s="587" t="s">
        <v>494</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row>
    <row r="4" spans="1:28" ht="15">
      <c r="A4" s="73" t="s">
        <v>174</v>
      </c>
      <c r="B4" s="73"/>
      <c r="C4" s="74"/>
      <c r="D4" s="74"/>
      <c r="E4" s="74"/>
      <c r="F4" s="74"/>
      <c r="G4" s="74"/>
      <c r="H4" s="74"/>
      <c r="I4" s="74"/>
      <c r="J4" s="74"/>
      <c r="K4" s="75"/>
      <c r="L4" s="75"/>
      <c r="M4" s="75"/>
      <c r="N4" s="71"/>
      <c r="O4" s="71"/>
      <c r="P4" s="71"/>
      <c r="Q4" s="71"/>
      <c r="R4" s="71"/>
      <c r="S4" s="76" t="s">
        <v>175</v>
      </c>
      <c r="T4" s="71"/>
      <c r="U4" s="75"/>
      <c r="V4" s="77">
        <f>72355865/100000-48.55</f>
        <v>675.00864999999999</v>
      </c>
      <c r="W4" s="176">
        <v>79.165880000000001</v>
      </c>
      <c r="X4" s="588">
        <f>V4+W4</f>
        <v>754.17453</v>
      </c>
      <c r="Y4" s="588"/>
      <c r="Z4" s="74"/>
      <c r="AA4" s="74"/>
    </row>
    <row r="5" spans="1:28" ht="15">
      <c r="A5" s="78" t="s">
        <v>461</v>
      </c>
      <c r="B5" s="73"/>
      <c r="C5" s="74"/>
      <c r="D5" s="74"/>
      <c r="E5" s="74"/>
      <c r="F5" s="74"/>
      <c r="G5" s="74"/>
      <c r="H5" s="74"/>
      <c r="I5" s="74"/>
      <c r="J5" s="74"/>
      <c r="K5" s="75"/>
      <c r="L5" s="75"/>
      <c r="M5" s="75"/>
      <c r="N5" s="71"/>
      <c r="O5" s="71"/>
      <c r="P5" s="71"/>
      <c r="Q5" s="75"/>
      <c r="R5" s="75"/>
      <c r="S5" s="76" t="s">
        <v>177</v>
      </c>
      <c r="T5" s="75"/>
      <c r="U5" s="75"/>
      <c r="V5" s="75"/>
      <c r="W5" s="74"/>
      <c r="X5" s="77"/>
      <c r="Y5" s="74"/>
      <c r="Z5" s="74"/>
      <c r="AA5" s="74"/>
    </row>
    <row r="6" spans="1:28" ht="15">
      <c r="A6" s="73" t="s">
        <v>178</v>
      </c>
      <c r="B6" s="73"/>
      <c r="C6" s="74"/>
      <c r="D6" s="74"/>
      <c r="E6" s="74"/>
      <c r="F6" s="74"/>
      <c r="G6" s="74"/>
      <c r="H6" s="74"/>
      <c r="I6" s="74"/>
      <c r="J6" s="74"/>
      <c r="K6" s="75"/>
      <c r="L6" s="75"/>
      <c r="M6" s="75"/>
      <c r="N6" s="71"/>
      <c r="O6" s="71"/>
      <c r="P6" s="71"/>
      <c r="Q6" s="71"/>
      <c r="R6" s="76" t="s">
        <v>179</v>
      </c>
      <c r="S6" s="71"/>
      <c r="T6" s="71"/>
      <c r="U6" s="71"/>
      <c r="V6" s="75"/>
      <c r="W6" s="74"/>
      <c r="X6" s="74"/>
      <c r="Y6" s="74"/>
      <c r="Z6" s="74"/>
      <c r="AA6" s="74"/>
    </row>
    <row r="7" spans="1:28" ht="15">
      <c r="A7" s="73" t="s">
        <v>180</v>
      </c>
      <c r="B7" s="73"/>
      <c r="C7" s="74"/>
      <c r="D7" s="74"/>
      <c r="E7" s="74"/>
      <c r="F7" s="74"/>
      <c r="G7" s="74"/>
      <c r="H7" s="74"/>
      <c r="I7" s="74"/>
      <c r="J7" s="74"/>
      <c r="K7" s="75"/>
      <c r="L7" s="75"/>
      <c r="M7" s="75"/>
      <c r="N7" s="71"/>
      <c r="O7" s="76"/>
      <c r="P7" s="71"/>
      <c r="Q7" s="75"/>
      <c r="R7" s="75"/>
      <c r="S7" s="75"/>
      <c r="T7" s="75"/>
      <c r="U7" s="75"/>
      <c r="V7" s="75"/>
      <c r="W7" s="74"/>
      <c r="X7" s="74"/>
      <c r="Y7" s="74"/>
      <c r="Z7" s="74"/>
      <c r="AA7" s="74"/>
    </row>
    <row r="8" spans="1:28" ht="15">
      <c r="A8" s="73" t="s">
        <v>181</v>
      </c>
      <c r="B8" s="73"/>
      <c r="C8" s="74"/>
      <c r="D8" s="74"/>
      <c r="E8" s="74"/>
      <c r="F8" s="74"/>
      <c r="G8" s="74"/>
      <c r="H8" s="74"/>
      <c r="I8" s="74"/>
      <c r="J8" s="74"/>
      <c r="K8" s="75"/>
      <c r="L8" s="75"/>
      <c r="M8" s="75"/>
      <c r="N8" s="71"/>
      <c r="O8" s="71"/>
      <c r="P8" s="71"/>
      <c r="Q8" s="71"/>
      <c r="R8" s="76" t="s">
        <v>182</v>
      </c>
      <c r="S8" s="71"/>
      <c r="T8" s="75"/>
      <c r="U8" s="75"/>
      <c r="V8" s="75"/>
      <c r="W8" s="74"/>
      <c r="X8" s="74"/>
      <c r="Y8" s="74"/>
      <c r="Z8" s="74"/>
      <c r="AA8" s="74"/>
    </row>
    <row r="9" spans="1:28" ht="15">
      <c r="A9" s="73" t="s">
        <v>183</v>
      </c>
      <c r="B9" s="73"/>
      <c r="C9" s="74"/>
      <c r="D9" s="74"/>
      <c r="E9" s="74"/>
      <c r="F9" s="74"/>
      <c r="G9" s="74"/>
      <c r="H9" s="74"/>
      <c r="I9" s="74"/>
      <c r="J9" s="74"/>
      <c r="K9" s="75"/>
      <c r="L9" s="75"/>
      <c r="M9" s="75"/>
      <c r="N9" s="71"/>
      <c r="O9" s="76"/>
      <c r="P9" s="71"/>
      <c r="Q9" s="75"/>
      <c r="R9" s="75"/>
      <c r="S9" s="75"/>
      <c r="T9" s="75"/>
      <c r="U9" s="75"/>
      <c r="V9" s="75"/>
      <c r="W9" s="74"/>
      <c r="X9" s="74"/>
      <c r="Y9" s="74"/>
      <c r="Z9" s="74"/>
      <c r="AA9" s="74"/>
    </row>
    <row r="10" spans="1:28" ht="15">
      <c r="A10" s="73" t="s">
        <v>184</v>
      </c>
      <c r="B10" s="73"/>
      <c r="C10" s="74"/>
      <c r="D10" s="74"/>
      <c r="E10" s="74"/>
      <c r="F10" s="74"/>
      <c r="G10" s="74"/>
      <c r="H10" s="74"/>
      <c r="I10" s="74"/>
      <c r="J10" s="74"/>
      <c r="K10" s="75"/>
      <c r="L10" s="75"/>
      <c r="M10" s="75"/>
      <c r="N10" s="71"/>
      <c r="O10" s="71"/>
      <c r="P10" s="71"/>
      <c r="Q10" s="71"/>
      <c r="R10" s="75"/>
      <c r="S10" s="76" t="s">
        <v>185</v>
      </c>
      <c r="T10" s="71"/>
      <c r="U10" s="75"/>
      <c r="V10" s="75"/>
      <c r="W10" s="74"/>
      <c r="X10" s="74"/>
      <c r="Y10" s="74"/>
      <c r="Z10" s="74"/>
      <c r="AA10" s="74"/>
    </row>
    <row r="11" spans="1:28" ht="15">
      <c r="A11" s="73" t="s">
        <v>186</v>
      </c>
      <c r="B11" s="73"/>
      <c r="C11" s="589">
        <f>U57</f>
        <v>730.38499999999999</v>
      </c>
      <c r="D11" s="589"/>
      <c r="E11" s="79"/>
      <c r="F11" s="79"/>
      <c r="G11" s="79"/>
      <c r="H11" s="79"/>
      <c r="I11" s="79"/>
      <c r="J11" s="79"/>
      <c r="K11" s="75"/>
      <c r="L11" s="75"/>
      <c r="M11" s="75"/>
      <c r="N11" s="71"/>
      <c r="O11" s="71"/>
      <c r="P11" s="71"/>
      <c r="Q11" s="71"/>
      <c r="R11" s="75"/>
      <c r="S11" s="76" t="s">
        <v>187</v>
      </c>
      <c r="T11" s="71"/>
      <c r="U11" s="75"/>
      <c r="V11" s="75"/>
      <c r="W11" s="74"/>
      <c r="X11" s="74"/>
      <c r="Y11" s="74"/>
      <c r="Z11" s="74"/>
      <c r="AA11" s="74"/>
    </row>
    <row r="12" spans="1:28" ht="15">
      <c r="A12" s="80" t="s">
        <v>188</v>
      </c>
      <c r="B12" s="73"/>
      <c r="C12" s="589">
        <f>C11</f>
        <v>730.38499999999999</v>
      </c>
      <c r="D12" s="589"/>
      <c r="E12" s="79"/>
      <c r="F12" s="79"/>
      <c r="G12" s="79"/>
      <c r="H12" s="79"/>
      <c r="I12" s="79"/>
      <c r="J12" s="79"/>
      <c r="K12" s="75"/>
      <c r="L12" s="75"/>
      <c r="M12" s="75"/>
      <c r="N12" s="71"/>
      <c r="O12" s="71"/>
      <c r="P12" s="71"/>
      <c r="Q12" s="75"/>
      <c r="R12" s="75"/>
      <c r="S12" s="76" t="s">
        <v>189</v>
      </c>
      <c r="T12" s="75"/>
      <c r="U12" s="75"/>
      <c r="V12" s="75"/>
      <c r="W12" s="74"/>
      <c r="X12" s="74"/>
      <c r="Y12" s="74"/>
      <c r="Z12" s="74"/>
      <c r="AB12" s="81">
        <f>V4/C11*100</f>
        <v>92.418197252134149</v>
      </c>
    </row>
    <row r="13" spans="1:28" ht="15">
      <c r="A13" s="73" t="s">
        <v>190</v>
      </c>
      <c r="B13" s="73"/>
      <c r="C13" s="74"/>
      <c r="D13" s="74"/>
      <c r="E13" s="74"/>
      <c r="F13" s="74"/>
      <c r="G13" s="74"/>
      <c r="H13" s="74"/>
      <c r="I13" s="74"/>
      <c r="J13" s="74"/>
      <c r="K13" s="75"/>
      <c r="L13" s="75"/>
      <c r="M13" s="75"/>
      <c r="N13" s="71"/>
      <c r="O13" s="71"/>
      <c r="P13" s="71"/>
      <c r="Q13" s="75"/>
      <c r="R13" s="75"/>
      <c r="S13" s="76" t="s">
        <v>191</v>
      </c>
      <c r="T13" s="75"/>
      <c r="U13" s="75"/>
      <c r="V13" s="75"/>
      <c r="W13" s="74"/>
      <c r="X13" s="74"/>
      <c r="Y13" s="74"/>
      <c r="Z13" s="74"/>
      <c r="AB13" s="82">
        <f>723.55/M59*100</f>
        <v>94.715415226725312</v>
      </c>
    </row>
    <row r="14" spans="1:28" ht="15">
      <c r="A14" s="73" t="s">
        <v>192</v>
      </c>
      <c r="B14" s="73"/>
      <c r="C14" s="74"/>
      <c r="D14" s="74"/>
      <c r="E14" s="74"/>
      <c r="F14" s="74"/>
      <c r="G14" s="74"/>
      <c r="H14" s="74"/>
      <c r="I14" s="74"/>
      <c r="J14" s="74"/>
      <c r="K14" s="75"/>
      <c r="L14" s="75"/>
      <c r="M14" s="75"/>
      <c r="N14" s="71"/>
      <c r="O14" s="71"/>
      <c r="P14" s="71"/>
      <c r="Q14" s="75"/>
      <c r="R14" s="75"/>
      <c r="S14" s="76" t="s">
        <v>193</v>
      </c>
      <c r="T14" s="75"/>
      <c r="U14" s="75"/>
      <c r="V14" s="75"/>
      <c r="W14" s="74"/>
      <c r="X14" s="74"/>
      <c r="Y14" s="74"/>
      <c r="Z14" s="74"/>
      <c r="AA14" s="74"/>
      <c r="AB14" s="83"/>
    </row>
    <row r="15" spans="1:28" ht="15">
      <c r="A15" s="73" t="s">
        <v>194</v>
      </c>
      <c r="B15" s="73"/>
      <c r="C15" s="74"/>
      <c r="D15" s="74"/>
      <c r="E15" s="74"/>
      <c r="F15" s="74"/>
      <c r="G15" s="74"/>
      <c r="H15" s="74"/>
      <c r="I15" s="74"/>
      <c r="J15" s="74"/>
      <c r="K15" s="75"/>
      <c r="L15" s="75"/>
      <c r="M15" s="75"/>
      <c r="N15" s="71"/>
      <c r="O15" s="71"/>
      <c r="P15" s="71"/>
      <c r="Q15" s="75"/>
      <c r="R15" s="75"/>
      <c r="S15" s="76" t="s">
        <v>195</v>
      </c>
      <c r="T15" s="75"/>
      <c r="U15" s="75"/>
      <c r="V15" s="75"/>
      <c r="W15" s="74"/>
      <c r="X15" s="74"/>
      <c r="Y15" s="74"/>
      <c r="Z15" s="74"/>
      <c r="AB15" s="84">
        <f>Y59</f>
        <v>94.762000000000015</v>
      </c>
    </row>
    <row r="16" spans="1:28" ht="15">
      <c r="A16" s="73"/>
      <c r="B16" s="73"/>
      <c r="C16" s="74"/>
      <c r="D16" s="74"/>
      <c r="E16" s="74"/>
      <c r="F16" s="74"/>
      <c r="G16" s="74"/>
      <c r="H16" s="74"/>
      <c r="I16" s="74"/>
      <c r="J16" s="74"/>
      <c r="K16" s="75"/>
      <c r="L16" s="75"/>
      <c r="M16" s="75"/>
      <c r="N16" s="75"/>
      <c r="O16" s="75"/>
      <c r="P16" s="75"/>
      <c r="Q16" s="75"/>
      <c r="R16" s="75"/>
      <c r="S16" s="75"/>
      <c r="T16" s="75"/>
      <c r="U16" s="75"/>
      <c r="V16" s="75"/>
      <c r="W16" s="74"/>
      <c r="X16" s="74"/>
      <c r="Y16" s="74"/>
      <c r="Z16" s="73" t="s">
        <v>196</v>
      </c>
      <c r="AA16" s="74"/>
    </row>
    <row r="17" spans="1:28" ht="44.25" customHeight="1">
      <c r="A17" s="595" t="s">
        <v>197</v>
      </c>
      <c r="B17" s="595" t="s">
        <v>198</v>
      </c>
      <c r="C17" s="582" t="s">
        <v>199</v>
      </c>
      <c r="D17" s="582" t="s">
        <v>200</v>
      </c>
      <c r="E17" s="584" t="s">
        <v>201</v>
      </c>
      <c r="F17" s="584"/>
      <c r="G17" s="584"/>
      <c r="H17" s="584" t="s">
        <v>202</v>
      </c>
      <c r="I17" s="584"/>
      <c r="J17" s="584"/>
      <c r="K17" s="602" t="s">
        <v>203</v>
      </c>
      <c r="L17" s="603"/>
      <c r="M17" s="604"/>
      <c r="N17" s="602" t="s">
        <v>204</v>
      </c>
      <c r="O17" s="603"/>
      <c r="P17" s="604"/>
      <c r="Q17" s="605" t="s">
        <v>205</v>
      </c>
      <c r="R17" s="606"/>
      <c r="S17" s="602" t="s">
        <v>496</v>
      </c>
      <c r="T17" s="603"/>
      <c r="U17" s="604"/>
      <c r="V17" s="605" t="s">
        <v>495</v>
      </c>
      <c r="W17" s="606"/>
      <c r="X17" s="591" t="s">
        <v>206</v>
      </c>
      <c r="Y17" s="591"/>
      <c r="Z17" s="592" t="s">
        <v>207</v>
      </c>
      <c r="AA17" s="593"/>
      <c r="AB17" s="594" t="s">
        <v>208</v>
      </c>
    </row>
    <row r="18" spans="1:28" ht="28.5" customHeight="1">
      <c r="A18" s="607"/>
      <c r="B18" s="607"/>
      <c r="C18" s="583"/>
      <c r="D18" s="583"/>
      <c r="E18" s="85" t="s">
        <v>209</v>
      </c>
      <c r="F18" s="85" t="s">
        <v>210</v>
      </c>
      <c r="G18" s="85" t="s">
        <v>211</v>
      </c>
      <c r="H18" s="85" t="s">
        <v>209</v>
      </c>
      <c r="I18" s="85" t="s">
        <v>210</v>
      </c>
      <c r="J18" s="85" t="s">
        <v>211</v>
      </c>
      <c r="K18" s="86" t="s">
        <v>209</v>
      </c>
      <c r="L18" s="86" t="s">
        <v>210</v>
      </c>
      <c r="M18" s="86" t="s">
        <v>211</v>
      </c>
      <c r="N18" s="86" t="s">
        <v>209</v>
      </c>
      <c r="O18" s="86" t="s">
        <v>210</v>
      </c>
      <c r="P18" s="86" t="s">
        <v>211</v>
      </c>
      <c r="Q18" s="86" t="s">
        <v>209</v>
      </c>
      <c r="R18" s="86" t="s">
        <v>212</v>
      </c>
      <c r="S18" s="86" t="s">
        <v>209</v>
      </c>
      <c r="T18" s="86" t="s">
        <v>210</v>
      </c>
      <c r="U18" s="86" t="s">
        <v>211</v>
      </c>
      <c r="V18" s="86" t="s">
        <v>209</v>
      </c>
      <c r="W18" s="86" t="s">
        <v>212</v>
      </c>
      <c r="X18" s="87" t="s">
        <v>209</v>
      </c>
      <c r="Y18" s="87" t="s">
        <v>212</v>
      </c>
      <c r="Z18" s="88" t="s">
        <v>213</v>
      </c>
      <c r="AA18" s="89" t="s">
        <v>214</v>
      </c>
      <c r="AB18" s="595"/>
    </row>
    <row r="19" spans="1:28" ht="15">
      <c r="A19" s="90">
        <v>1</v>
      </c>
      <c r="B19" s="90">
        <v>2</v>
      </c>
      <c r="C19" s="91"/>
      <c r="D19" s="90">
        <v>3</v>
      </c>
      <c r="E19" s="90">
        <v>4</v>
      </c>
      <c r="F19" s="90">
        <v>5</v>
      </c>
      <c r="G19" s="90">
        <v>6</v>
      </c>
      <c r="H19" s="90">
        <v>7</v>
      </c>
      <c r="I19" s="90">
        <v>8</v>
      </c>
      <c r="J19" s="90">
        <v>9</v>
      </c>
      <c r="K19" s="92">
        <v>10</v>
      </c>
      <c r="L19" s="92">
        <v>11</v>
      </c>
      <c r="M19" s="92">
        <v>12</v>
      </c>
      <c r="N19" s="92">
        <v>13</v>
      </c>
      <c r="O19" s="92">
        <v>14</v>
      </c>
      <c r="P19" s="92">
        <v>15</v>
      </c>
      <c r="Q19" s="92">
        <v>16</v>
      </c>
      <c r="R19" s="92">
        <v>17</v>
      </c>
      <c r="S19" s="92">
        <v>13</v>
      </c>
      <c r="T19" s="92">
        <v>14</v>
      </c>
      <c r="U19" s="92">
        <v>15</v>
      </c>
      <c r="V19" s="92">
        <v>16</v>
      </c>
      <c r="W19" s="90">
        <v>17</v>
      </c>
      <c r="X19" s="90">
        <v>18</v>
      </c>
      <c r="Y19" s="90">
        <v>19</v>
      </c>
      <c r="Z19" s="90">
        <v>20</v>
      </c>
      <c r="AA19" s="90">
        <v>21</v>
      </c>
      <c r="AB19" s="90">
        <v>22</v>
      </c>
    </row>
    <row r="20" spans="1:28" s="97" customFormat="1" ht="14.25">
      <c r="A20" s="596" t="s">
        <v>215</v>
      </c>
      <c r="B20" s="597"/>
      <c r="C20" s="93"/>
      <c r="D20" s="93"/>
      <c r="E20" s="93"/>
      <c r="F20" s="93"/>
      <c r="G20" s="93"/>
      <c r="H20" s="93"/>
      <c r="I20" s="93"/>
      <c r="J20" s="93"/>
      <c r="K20" s="94"/>
      <c r="L20" s="94"/>
      <c r="M20" s="94"/>
      <c r="N20" s="94"/>
      <c r="O20" s="94"/>
      <c r="P20" s="94"/>
      <c r="Q20" s="94"/>
      <c r="R20" s="94"/>
      <c r="S20" s="94"/>
      <c r="T20" s="94"/>
      <c r="U20" s="94"/>
      <c r="V20" s="94"/>
      <c r="W20" s="93"/>
      <c r="X20" s="93"/>
      <c r="Y20" s="93"/>
      <c r="Z20" s="93"/>
      <c r="AA20" s="93"/>
      <c r="AB20" s="96"/>
    </row>
    <row r="21" spans="1:28" s="104" customFormat="1" ht="18">
      <c r="A21" s="178">
        <v>36</v>
      </c>
      <c r="B21" s="179" t="s">
        <v>133</v>
      </c>
      <c r="C21" s="98"/>
      <c r="D21" s="100"/>
      <c r="E21" s="98"/>
      <c r="F21" s="98"/>
      <c r="G21" s="98"/>
      <c r="H21" s="98">
        <v>0</v>
      </c>
      <c r="I21" s="98">
        <v>0</v>
      </c>
      <c r="J21" s="98">
        <v>0</v>
      </c>
      <c r="K21" s="98"/>
      <c r="L21" s="98"/>
      <c r="M21" s="98">
        <f>SUM(M22)</f>
        <v>20</v>
      </c>
      <c r="N21" s="98"/>
      <c r="O21" s="101"/>
      <c r="P21" s="98"/>
      <c r="Q21" s="98">
        <v>0</v>
      </c>
      <c r="R21" s="101">
        <v>0</v>
      </c>
      <c r="S21" s="101"/>
      <c r="T21" s="102"/>
      <c r="U21" s="98">
        <f>SUM(U22)</f>
        <v>20</v>
      </c>
      <c r="V21" s="101"/>
      <c r="W21" s="101"/>
      <c r="X21" s="101"/>
      <c r="Y21" s="101"/>
      <c r="Z21" s="98"/>
      <c r="AA21" s="98"/>
      <c r="AB21" s="98"/>
    </row>
    <row r="22" spans="1:28" s="104" customFormat="1" ht="18">
      <c r="A22" s="180" t="s">
        <v>462</v>
      </c>
      <c r="B22" s="181" t="s">
        <v>134</v>
      </c>
      <c r="C22" s="105">
        <v>31155</v>
      </c>
      <c r="D22" s="107" t="s">
        <v>218</v>
      </c>
      <c r="E22" s="105">
        <v>0</v>
      </c>
      <c r="F22" s="105">
        <v>0</v>
      </c>
      <c r="G22" s="105">
        <v>0</v>
      </c>
      <c r="H22" s="105">
        <v>0</v>
      </c>
      <c r="I22" s="105">
        <v>0</v>
      </c>
      <c r="J22" s="105">
        <v>0</v>
      </c>
      <c r="K22" s="105">
        <v>1</v>
      </c>
      <c r="L22" s="105">
        <f>ROUND(M22/M57*K22*100,2)</f>
        <v>2.62</v>
      </c>
      <c r="M22" s="105">
        <v>20</v>
      </c>
      <c r="N22" s="105">
        <v>0</v>
      </c>
      <c r="O22" s="108">
        <v>0</v>
      </c>
      <c r="P22" s="105">
        <v>0</v>
      </c>
      <c r="Q22" s="105">
        <v>0</v>
      </c>
      <c r="R22" s="105">
        <f>L22/K22*Q22</f>
        <v>0</v>
      </c>
      <c r="S22" s="105">
        <v>1</v>
      </c>
      <c r="T22" s="105">
        <f>ROUND(U22/$M$57*S22*100,2)</f>
        <v>2.62</v>
      </c>
      <c r="U22" s="105">
        <v>20</v>
      </c>
      <c r="V22" s="105">
        <v>1</v>
      </c>
      <c r="W22" s="110">
        <f t="shared" ref="W22:W55" si="0">T22/S22*V22</f>
        <v>2.62</v>
      </c>
      <c r="X22" s="110">
        <f>V22+Q22</f>
        <v>1</v>
      </c>
      <c r="Y22" s="110">
        <f>W22+R22</f>
        <v>2.62</v>
      </c>
      <c r="Z22" s="105"/>
      <c r="AA22" s="105"/>
      <c r="AB22" s="105"/>
    </row>
    <row r="23" spans="1:28" s="124" customFormat="1" ht="18">
      <c r="A23" s="182">
        <v>39</v>
      </c>
      <c r="B23" s="183" t="s">
        <v>43</v>
      </c>
      <c r="C23" s="184"/>
      <c r="D23" s="184"/>
      <c r="E23" s="184"/>
      <c r="F23" s="184"/>
      <c r="G23" s="184"/>
      <c r="H23" s="184"/>
      <c r="I23" s="184"/>
      <c r="J23" s="184"/>
      <c r="K23" s="184"/>
      <c r="L23" s="184"/>
      <c r="M23" s="185">
        <f>SUM(M24:M35)</f>
        <v>309.21999999999997</v>
      </c>
      <c r="N23" s="184"/>
      <c r="O23" s="184"/>
      <c r="P23" s="184"/>
      <c r="Q23" s="184"/>
      <c r="R23" s="184"/>
      <c r="S23" s="184"/>
      <c r="T23" s="122"/>
      <c r="U23" s="185">
        <f>SUM(U24:U35)</f>
        <v>283.84000000000003</v>
      </c>
      <c r="V23" s="184"/>
      <c r="W23" s="186"/>
      <c r="X23" s="186"/>
      <c r="Y23" s="186"/>
      <c r="Z23" s="184"/>
      <c r="AA23" s="184"/>
      <c r="AB23" s="184"/>
    </row>
    <row r="24" spans="1:28" s="124" customFormat="1" ht="17.25">
      <c r="A24" s="187" t="s">
        <v>463</v>
      </c>
      <c r="B24" s="188" t="s">
        <v>142</v>
      </c>
      <c r="C24" s="98">
        <v>31154</v>
      </c>
      <c r="D24" s="100" t="s">
        <v>218</v>
      </c>
      <c r="E24" s="98">
        <v>0</v>
      </c>
      <c r="F24" s="98">
        <v>0</v>
      </c>
      <c r="G24" s="98">
        <v>0</v>
      </c>
      <c r="H24" s="98">
        <v>0</v>
      </c>
      <c r="I24" s="98">
        <v>0</v>
      </c>
      <c r="J24" s="98">
        <v>0</v>
      </c>
      <c r="K24" s="98">
        <v>1</v>
      </c>
      <c r="L24" s="105">
        <f>ROUND(M24/M57*K24*100,2)</f>
        <v>1.1100000000000001</v>
      </c>
      <c r="M24" s="98">
        <v>8.4600000000000009</v>
      </c>
      <c r="N24" s="98">
        <v>0</v>
      </c>
      <c r="O24" s="125">
        <v>0</v>
      </c>
      <c r="P24" s="98">
        <v>0</v>
      </c>
      <c r="Q24" s="98">
        <v>0</v>
      </c>
      <c r="R24" s="101">
        <v>0</v>
      </c>
      <c r="S24" s="101">
        <v>1</v>
      </c>
      <c r="T24" s="105">
        <f t="shared" ref="T24:T35" si="1">ROUND(U24/$M$57*S24*100,2)</f>
        <v>1.1100000000000001</v>
      </c>
      <c r="U24" s="101">
        <v>8.4600000000000009</v>
      </c>
      <c r="V24" s="101">
        <v>1</v>
      </c>
      <c r="W24" s="101">
        <f t="shared" ref="W24:W34" si="2">T24/S24*V24</f>
        <v>1.1100000000000001</v>
      </c>
      <c r="X24" s="101">
        <f t="shared" ref="X24:X34" si="3">V24+Q24</f>
        <v>1</v>
      </c>
      <c r="Y24" s="101">
        <f>L24/K24*X24</f>
        <v>1.1100000000000001</v>
      </c>
      <c r="Z24" s="98"/>
      <c r="AA24" s="98"/>
      <c r="AB24" s="126"/>
    </row>
    <row r="25" spans="1:28" s="124" customFormat="1" ht="17.25">
      <c r="A25" s="189" t="s">
        <v>464</v>
      </c>
      <c r="B25" s="190" t="s">
        <v>86</v>
      </c>
      <c r="C25" s="105">
        <v>31154</v>
      </c>
      <c r="D25" s="107" t="s">
        <v>218</v>
      </c>
      <c r="E25" s="105">
        <v>0</v>
      </c>
      <c r="F25" s="105">
        <v>0</v>
      </c>
      <c r="G25" s="105">
        <v>0</v>
      </c>
      <c r="H25" s="105">
        <v>0</v>
      </c>
      <c r="I25" s="105">
        <v>0</v>
      </c>
      <c r="J25" s="105">
        <v>0</v>
      </c>
      <c r="K25" s="105">
        <v>1</v>
      </c>
      <c r="L25" s="105">
        <f t="shared" ref="L25:L35" si="4">ROUND(M25/$M$57*K25*100,2)</f>
        <v>1.1100000000000001</v>
      </c>
      <c r="M25" s="105">
        <v>8.4600000000000009</v>
      </c>
      <c r="N25" s="98">
        <v>0</v>
      </c>
      <c r="O25" s="125">
        <v>0</v>
      </c>
      <c r="P25" s="98">
        <v>0</v>
      </c>
      <c r="Q25" s="105">
        <v>0</v>
      </c>
      <c r="R25" s="110">
        <v>0</v>
      </c>
      <c r="S25" s="110">
        <v>1</v>
      </c>
      <c r="T25" s="105">
        <f t="shared" si="1"/>
        <v>1.1100000000000001</v>
      </c>
      <c r="U25" s="110">
        <v>8.4600000000000009</v>
      </c>
      <c r="V25" s="110">
        <v>1</v>
      </c>
      <c r="W25" s="110">
        <f t="shared" si="2"/>
        <v>1.1100000000000001</v>
      </c>
      <c r="X25" s="110">
        <f t="shared" si="3"/>
        <v>1</v>
      </c>
      <c r="Y25" s="110">
        <f t="shared" ref="Y25:Y44" si="5">L25/K25*X25</f>
        <v>1.1100000000000001</v>
      </c>
      <c r="Z25" s="105"/>
      <c r="AA25" s="105"/>
      <c r="AB25" s="127"/>
    </row>
    <row r="26" spans="1:28" s="124" customFormat="1" ht="17.25">
      <c r="A26" s="189" t="s">
        <v>465</v>
      </c>
      <c r="B26" s="190" t="s">
        <v>48</v>
      </c>
      <c r="C26" s="105">
        <v>31154</v>
      </c>
      <c r="D26" s="107" t="s">
        <v>218</v>
      </c>
      <c r="E26" s="105">
        <v>0</v>
      </c>
      <c r="F26" s="105">
        <v>0</v>
      </c>
      <c r="G26" s="105">
        <v>0</v>
      </c>
      <c r="H26" s="105">
        <v>0</v>
      </c>
      <c r="I26" s="105">
        <v>0</v>
      </c>
      <c r="J26" s="105">
        <v>0</v>
      </c>
      <c r="K26" s="105">
        <v>1</v>
      </c>
      <c r="L26" s="105">
        <f t="shared" si="4"/>
        <v>1.1100000000000001</v>
      </c>
      <c r="M26" s="105">
        <v>8.4600000000000009</v>
      </c>
      <c r="N26" s="98">
        <v>0</v>
      </c>
      <c r="O26" s="125">
        <v>0</v>
      </c>
      <c r="P26" s="98">
        <v>0</v>
      </c>
      <c r="Q26" s="105">
        <v>0</v>
      </c>
      <c r="R26" s="110">
        <v>0</v>
      </c>
      <c r="S26" s="110">
        <v>0</v>
      </c>
      <c r="T26" s="105">
        <f t="shared" si="1"/>
        <v>0</v>
      </c>
      <c r="U26" s="110">
        <v>0</v>
      </c>
      <c r="V26" s="110">
        <v>0</v>
      </c>
      <c r="W26" s="110">
        <v>0</v>
      </c>
      <c r="X26" s="110">
        <v>0</v>
      </c>
      <c r="Y26" s="110">
        <f t="shared" si="5"/>
        <v>0</v>
      </c>
      <c r="Z26" s="105"/>
      <c r="AA26" s="105"/>
      <c r="AB26" s="127"/>
    </row>
    <row r="27" spans="1:28" s="124" customFormat="1" ht="17.25">
      <c r="A27" s="189" t="s">
        <v>466</v>
      </c>
      <c r="B27" s="190" t="s">
        <v>143</v>
      </c>
      <c r="C27" s="105">
        <v>31154</v>
      </c>
      <c r="D27" s="107" t="s">
        <v>218</v>
      </c>
      <c r="E27" s="105">
        <v>0</v>
      </c>
      <c r="F27" s="105">
        <v>0</v>
      </c>
      <c r="G27" s="105">
        <v>0</v>
      </c>
      <c r="H27" s="105">
        <v>0</v>
      </c>
      <c r="I27" s="105">
        <v>0</v>
      </c>
      <c r="J27" s="105">
        <v>0</v>
      </c>
      <c r="K27" s="105">
        <v>1</v>
      </c>
      <c r="L27" s="105">
        <f t="shared" si="4"/>
        <v>1.1100000000000001</v>
      </c>
      <c r="M27" s="105">
        <v>8.4600000000000009</v>
      </c>
      <c r="N27" s="98">
        <v>0</v>
      </c>
      <c r="O27" s="125">
        <v>0</v>
      </c>
      <c r="P27" s="98">
        <v>0</v>
      </c>
      <c r="Q27" s="105">
        <v>0</v>
      </c>
      <c r="R27" s="110">
        <v>0</v>
      </c>
      <c r="S27" s="110">
        <v>0.5</v>
      </c>
      <c r="T27" s="105">
        <f t="shared" si="1"/>
        <v>0.28000000000000003</v>
      </c>
      <c r="U27" s="110">
        <v>4.2300000000000004</v>
      </c>
      <c r="V27" s="110">
        <v>0.5</v>
      </c>
      <c r="W27" s="110">
        <f t="shared" si="2"/>
        <v>0.28000000000000003</v>
      </c>
      <c r="X27" s="110">
        <v>1</v>
      </c>
      <c r="Y27" s="110">
        <f t="shared" si="5"/>
        <v>1.1100000000000001</v>
      </c>
      <c r="Z27" s="105"/>
      <c r="AA27" s="105"/>
      <c r="AB27" s="127"/>
    </row>
    <row r="28" spans="1:28" s="121" customFormat="1" ht="17.25">
      <c r="A28" s="189" t="s">
        <v>467</v>
      </c>
      <c r="B28" s="190" t="s">
        <v>51</v>
      </c>
      <c r="C28" s="105">
        <v>31154</v>
      </c>
      <c r="D28" s="107" t="s">
        <v>218</v>
      </c>
      <c r="E28" s="105">
        <v>0</v>
      </c>
      <c r="F28" s="105">
        <v>0</v>
      </c>
      <c r="G28" s="105">
        <v>0</v>
      </c>
      <c r="H28" s="105">
        <v>0</v>
      </c>
      <c r="I28" s="105">
        <v>0</v>
      </c>
      <c r="J28" s="105">
        <v>0</v>
      </c>
      <c r="K28" s="105">
        <v>0</v>
      </c>
      <c r="L28" s="105">
        <f t="shared" si="4"/>
        <v>0</v>
      </c>
      <c r="M28" s="105">
        <v>0</v>
      </c>
      <c r="N28" s="98">
        <v>0</v>
      </c>
      <c r="O28" s="125">
        <v>0</v>
      </c>
      <c r="P28" s="98">
        <v>0</v>
      </c>
      <c r="Q28" s="105">
        <v>0</v>
      </c>
      <c r="R28" s="110">
        <v>0</v>
      </c>
      <c r="S28" s="110">
        <v>0</v>
      </c>
      <c r="T28" s="105">
        <f t="shared" si="1"/>
        <v>0</v>
      </c>
      <c r="U28" s="110">
        <v>0</v>
      </c>
      <c r="V28" s="110">
        <v>0</v>
      </c>
      <c r="W28" s="110">
        <v>0</v>
      </c>
      <c r="X28" s="110">
        <f t="shared" si="3"/>
        <v>0</v>
      </c>
      <c r="Y28" s="110">
        <v>0</v>
      </c>
      <c r="Z28" s="105"/>
      <c r="AA28" s="105"/>
      <c r="AB28" s="127"/>
    </row>
    <row r="29" spans="1:28" s="121" customFormat="1" ht="17.25">
      <c r="A29" s="189" t="s">
        <v>468</v>
      </c>
      <c r="B29" s="190" t="s">
        <v>140</v>
      </c>
      <c r="C29" s="105">
        <v>31154</v>
      </c>
      <c r="D29" s="107" t="s">
        <v>218</v>
      </c>
      <c r="E29" s="105">
        <v>0</v>
      </c>
      <c r="F29" s="105">
        <v>0</v>
      </c>
      <c r="G29" s="105">
        <v>0</v>
      </c>
      <c r="H29" s="105">
        <v>0</v>
      </c>
      <c r="I29" s="105">
        <v>0</v>
      </c>
      <c r="J29" s="105">
        <v>0</v>
      </c>
      <c r="K29" s="105">
        <v>0</v>
      </c>
      <c r="L29" s="105">
        <f t="shared" si="4"/>
        <v>0</v>
      </c>
      <c r="M29" s="105">
        <v>0</v>
      </c>
      <c r="N29" s="98">
        <v>0</v>
      </c>
      <c r="O29" s="125">
        <v>0</v>
      </c>
      <c r="P29" s="98">
        <v>0</v>
      </c>
      <c r="Q29" s="105">
        <v>0</v>
      </c>
      <c r="R29" s="110">
        <v>0</v>
      </c>
      <c r="S29" s="110">
        <v>0</v>
      </c>
      <c r="T29" s="105">
        <f t="shared" si="1"/>
        <v>0</v>
      </c>
      <c r="U29" s="110">
        <v>0</v>
      </c>
      <c r="V29" s="110">
        <v>0</v>
      </c>
      <c r="W29" s="110">
        <v>0</v>
      </c>
      <c r="X29" s="110">
        <f t="shared" si="3"/>
        <v>0</v>
      </c>
      <c r="Y29" s="110">
        <v>0</v>
      </c>
      <c r="Z29" s="105"/>
      <c r="AA29" s="105"/>
      <c r="AB29" s="127"/>
    </row>
    <row r="30" spans="1:28" s="121" customFormat="1" ht="17.25">
      <c r="A30" s="189" t="s">
        <v>469</v>
      </c>
      <c r="B30" s="190" t="s">
        <v>109</v>
      </c>
      <c r="C30" s="105">
        <v>31154</v>
      </c>
      <c r="D30" s="107" t="s">
        <v>218</v>
      </c>
      <c r="E30" s="105">
        <v>0</v>
      </c>
      <c r="F30" s="105">
        <v>0</v>
      </c>
      <c r="G30" s="105">
        <v>0</v>
      </c>
      <c r="H30" s="105">
        <v>0</v>
      </c>
      <c r="I30" s="105">
        <v>0</v>
      </c>
      <c r="J30" s="105">
        <v>0</v>
      </c>
      <c r="K30" s="105">
        <v>1</v>
      </c>
      <c r="L30" s="105">
        <f t="shared" si="4"/>
        <v>1.1100000000000001</v>
      </c>
      <c r="M30" s="105">
        <v>8.4600000000000009</v>
      </c>
      <c r="N30" s="98">
        <v>0</v>
      </c>
      <c r="O30" s="125">
        <v>0</v>
      </c>
      <c r="P30" s="98">
        <v>0</v>
      </c>
      <c r="Q30" s="105">
        <v>0</v>
      </c>
      <c r="R30" s="110">
        <v>0</v>
      </c>
      <c r="S30" s="110">
        <v>0.5</v>
      </c>
      <c r="T30" s="105">
        <f t="shared" si="1"/>
        <v>0.28000000000000003</v>
      </c>
      <c r="U30" s="110">
        <v>4.2300000000000004</v>
      </c>
      <c r="V30" s="110">
        <v>0.35</v>
      </c>
      <c r="W30" s="110">
        <f t="shared" si="2"/>
        <v>0.19600000000000001</v>
      </c>
      <c r="X30" s="110">
        <v>1</v>
      </c>
      <c r="Y30" s="110">
        <f t="shared" si="5"/>
        <v>1.1100000000000001</v>
      </c>
      <c r="Z30" s="105"/>
      <c r="AA30" s="105"/>
      <c r="AB30" s="127"/>
    </row>
    <row r="31" spans="1:28" s="121" customFormat="1" ht="17.25">
      <c r="A31" s="189" t="s">
        <v>470</v>
      </c>
      <c r="B31" s="190" t="s">
        <v>138</v>
      </c>
      <c r="C31" s="105">
        <v>31154</v>
      </c>
      <c r="D31" s="107" t="s">
        <v>218</v>
      </c>
      <c r="E31" s="105">
        <v>0</v>
      </c>
      <c r="F31" s="105">
        <v>0</v>
      </c>
      <c r="G31" s="105">
        <v>0</v>
      </c>
      <c r="H31" s="105">
        <v>0</v>
      </c>
      <c r="I31" s="105">
        <v>0</v>
      </c>
      <c r="J31" s="105">
        <v>0</v>
      </c>
      <c r="K31" s="105">
        <v>0</v>
      </c>
      <c r="L31" s="105">
        <f t="shared" si="4"/>
        <v>0</v>
      </c>
      <c r="M31" s="105">
        <v>0</v>
      </c>
      <c r="N31" s="98">
        <v>0</v>
      </c>
      <c r="O31" s="125">
        <v>0</v>
      </c>
      <c r="P31" s="98">
        <v>0</v>
      </c>
      <c r="Q31" s="105">
        <v>0</v>
      </c>
      <c r="R31" s="110">
        <v>0</v>
      </c>
      <c r="S31" s="110">
        <v>0</v>
      </c>
      <c r="T31" s="105">
        <f t="shared" si="1"/>
        <v>0</v>
      </c>
      <c r="U31" s="110">
        <v>0</v>
      </c>
      <c r="V31" s="110">
        <v>0</v>
      </c>
      <c r="W31" s="110">
        <v>0</v>
      </c>
      <c r="X31" s="110">
        <f t="shared" si="3"/>
        <v>0</v>
      </c>
      <c r="Y31" s="110">
        <v>0</v>
      </c>
      <c r="Z31" s="105"/>
      <c r="AA31" s="105"/>
      <c r="AB31" s="127"/>
    </row>
    <row r="32" spans="1:28" s="121" customFormat="1" ht="17.25">
      <c r="A32" s="189" t="s">
        <v>471</v>
      </c>
      <c r="B32" s="190" t="s">
        <v>50</v>
      </c>
      <c r="C32" s="105">
        <v>31154</v>
      </c>
      <c r="D32" s="107" t="s">
        <v>218</v>
      </c>
      <c r="E32" s="105">
        <v>0</v>
      </c>
      <c r="F32" s="105">
        <v>0</v>
      </c>
      <c r="G32" s="105">
        <v>0</v>
      </c>
      <c r="H32" s="105">
        <v>0</v>
      </c>
      <c r="I32" s="105">
        <v>0</v>
      </c>
      <c r="J32" s="105">
        <v>0</v>
      </c>
      <c r="K32" s="105">
        <v>0</v>
      </c>
      <c r="L32" s="105">
        <f t="shared" si="4"/>
        <v>0</v>
      </c>
      <c r="M32" s="105">
        <v>0</v>
      </c>
      <c r="N32" s="98">
        <v>0</v>
      </c>
      <c r="O32" s="125">
        <v>0</v>
      </c>
      <c r="P32" s="98">
        <v>0</v>
      </c>
      <c r="Q32" s="105">
        <v>0</v>
      </c>
      <c r="R32" s="110">
        <v>0</v>
      </c>
      <c r="S32" s="110">
        <v>0</v>
      </c>
      <c r="T32" s="105">
        <f t="shared" si="1"/>
        <v>0</v>
      </c>
      <c r="U32" s="110">
        <v>0</v>
      </c>
      <c r="V32" s="110">
        <v>0</v>
      </c>
      <c r="W32" s="110">
        <v>0</v>
      </c>
      <c r="X32" s="110">
        <f t="shared" si="3"/>
        <v>0</v>
      </c>
      <c r="Y32" s="110">
        <v>0</v>
      </c>
      <c r="Z32" s="105"/>
      <c r="AA32" s="105"/>
      <c r="AB32" s="127"/>
    </row>
    <row r="33" spans="1:28" s="124" customFormat="1" ht="17.25">
      <c r="A33" s="189" t="s">
        <v>472</v>
      </c>
      <c r="B33" s="191" t="s">
        <v>139</v>
      </c>
      <c r="C33" s="105">
        <v>31154</v>
      </c>
      <c r="D33" s="107" t="s">
        <v>218</v>
      </c>
      <c r="E33" s="105">
        <v>0</v>
      </c>
      <c r="F33" s="105">
        <v>0</v>
      </c>
      <c r="G33" s="105">
        <v>0</v>
      </c>
      <c r="H33" s="105">
        <v>0</v>
      </c>
      <c r="I33" s="105">
        <v>0</v>
      </c>
      <c r="J33" s="105">
        <v>0</v>
      </c>
      <c r="K33" s="105">
        <v>1</v>
      </c>
      <c r="L33" s="105">
        <f t="shared" si="4"/>
        <v>1.1100000000000001</v>
      </c>
      <c r="M33" s="105">
        <v>8.4600000000000009</v>
      </c>
      <c r="N33" s="98">
        <v>0</v>
      </c>
      <c r="O33" s="125">
        <v>0</v>
      </c>
      <c r="P33" s="98">
        <v>0</v>
      </c>
      <c r="Q33" s="105">
        <v>0</v>
      </c>
      <c r="R33" s="110">
        <v>0</v>
      </c>
      <c r="S33" s="110">
        <v>1</v>
      </c>
      <c r="T33" s="105">
        <f t="shared" si="1"/>
        <v>1.1100000000000001</v>
      </c>
      <c r="U33" s="110">
        <v>8.4600000000000009</v>
      </c>
      <c r="V33" s="110">
        <v>0.8</v>
      </c>
      <c r="W33" s="110">
        <f t="shared" si="2"/>
        <v>0.88800000000000012</v>
      </c>
      <c r="X33" s="110">
        <v>1</v>
      </c>
      <c r="Y33" s="110">
        <f t="shared" si="5"/>
        <v>1.1100000000000001</v>
      </c>
      <c r="Z33" s="105"/>
      <c r="AA33" s="105"/>
      <c r="AB33" s="127"/>
    </row>
    <row r="34" spans="1:28" s="124" customFormat="1" ht="17.25">
      <c r="A34" s="189" t="s">
        <v>473</v>
      </c>
      <c r="B34" s="190" t="s">
        <v>46</v>
      </c>
      <c r="C34" s="152">
        <v>31154</v>
      </c>
      <c r="D34" s="192" t="s">
        <v>218</v>
      </c>
      <c r="E34" s="152">
        <v>0</v>
      </c>
      <c r="F34" s="152">
        <v>0</v>
      </c>
      <c r="G34" s="152">
        <v>0</v>
      </c>
      <c r="H34" s="152">
        <v>0</v>
      </c>
      <c r="I34" s="152">
        <v>0</v>
      </c>
      <c r="J34" s="152">
        <v>0</v>
      </c>
      <c r="K34" s="152">
        <v>1</v>
      </c>
      <c r="L34" s="105">
        <f t="shared" si="4"/>
        <v>33.869999999999997</v>
      </c>
      <c r="M34" s="105">
        <v>258.45999999999998</v>
      </c>
      <c r="N34" s="193">
        <v>0</v>
      </c>
      <c r="O34" s="194">
        <v>0</v>
      </c>
      <c r="P34" s="193">
        <v>0</v>
      </c>
      <c r="Q34" s="152">
        <v>0</v>
      </c>
      <c r="R34" s="154">
        <v>0</v>
      </c>
      <c r="S34" s="110">
        <v>1</v>
      </c>
      <c r="T34" s="105">
        <f t="shared" si="1"/>
        <v>32.76</v>
      </c>
      <c r="U34" s="110">
        <v>250</v>
      </c>
      <c r="V34" s="154">
        <v>1</v>
      </c>
      <c r="W34" s="154">
        <f t="shared" si="2"/>
        <v>32.76</v>
      </c>
      <c r="X34" s="154">
        <f t="shared" si="3"/>
        <v>1</v>
      </c>
      <c r="Y34" s="110">
        <f t="shared" si="5"/>
        <v>33.869999999999997</v>
      </c>
      <c r="Z34" s="152"/>
      <c r="AA34" s="152"/>
      <c r="AB34" s="195"/>
    </row>
    <row r="35" spans="1:28" s="124" customFormat="1" ht="18">
      <c r="A35" s="189" t="s">
        <v>474</v>
      </c>
      <c r="B35" s="181" t="s">
        <v>141</v>
      </c>
      <c r="C35" s="118">
        <v>31155</v>
      </c>
      <c r="D35" s="129" t="s">
        <v>218</v>
      </c>
      <c r="E35" s="118">
        <v>0</v>
      </c>
      <c r="F35" s="118">
        <v>0</v>
      </c>
      <c r="G35" s="118">
        <v>0</v>
      </c>
      <c r="H35" s="118">
        <v>0</v>
      </c>
      <c r="I35" s="118">
        <v>0</v>
      </c>
      <c r="J35" s="118">
        <v>0</v>
      </c>
      <c r="K35" s="118">
        <v>0</v>
      </c>
      <c r="L35" s="105">
        <f t="shared" si="4"/>
        <v>0</v>
      </c>
      <c r="M35" s="118">
        <v>0</v>
      </c>
      <c r="N35" s="118"/>
      <c r="O35" s="130"/>
      <c r="P35" s="118"/>
      <c r="Q35" s="118"/>
      <c r="R35" s="131"/>
      <c r="S35" s="110">
        <v>0</v>
      </c>
      <c r="T35" s="105">
        <f t="shared" si="1"/>
        <v>0</v>
      </c>
      <c r="U35" s="131">
        <v>0</v>
      </c>
      <c r="V35" s="131">
        <v>1</v>
      </c>
      <c r="W35" s="131">
        <v>0</v>
      </c>
      <c r="X35" s="131">
        <v>0</v>
      </c>
      <c r="Y35" s="131">
        <v>0</v>
      </c>
      <c r="Z35" s="196"/>
      <c r="AA35" s="196"/>
      <c r="AB35" s="196"/>
    </row>
    <row r="36" spans="1:28" s="104" customFormat="1" ht="18">
      <c r="A36" s="197">
        <v>51</v>
      </c>
      <c r="B36" s="183" t="s">
        <v>113</v>
      </c>
      <c r="C36" s="198"/>
      <c r="D36" s="199"/>
      <c r="E36" s="185"/>
      <c r="F36" s="185"/>
      <c r="G36" s="185"/>
      <c r="H36" s="185"/>
      <c r="I36" s="185"/>
      <c r="J36" s="185"/>
      <c r="K36" s="185"/>
      <c r="L36" s="185"/>
      <c r="M36" s="200">
        <f>SUM(M37:R45)</f>
        <v>21.059999999999995</v>
      </c>
      <c r="N36" s="185">
        <v>0</v>
      </c>
      <c r="O36" s="200">
        <v>0</v>
      </c>
      <c r="P36" s="185">
        <v>0</v>
      </c>
      <c r="Q36" s="185"/>
      <c r="R36" s="185"/>
      <c r="S36" s="185"/>
      <c r="T36" s="122"/>
      <c r="U36" s="200">
        <f>SUM(U37:U45)</f>
        <v>15.794999999999998</v>
      </c>
      <c r="V36" s="185"/>
      <c r="W36" s="186"/>
      <c r="X36" s="186"/>
      <c r="Y36" s="186"/>
      <c r="Z36" s="185"/>
      <c r="AA36" s="185"/>
      <c r="AB36" s="185"/>
    </row>
    <row r="37" spans="1:28" s="104" customFormat="1" ht="18">
      <c r="A37" s="189" t="s">
        <v>475</v>
      </c>
      <c r="B37" s="188" t="s">
        <v>144</v>
      </c>
      <c r="C37" s="158">
        <v>31155</v>
      </c>
      <c r="D37" s="201" t="s">
        <v>218</v>
      </c>
      <c r="E37" s="158">
        <v>0</v>
      </c>
      <c r="F37" s="158">
        <v>0</v>
      </c>
      <c r="G37" s="158">
        <v>0</v>
      </c>
      <c r="H37" s="158">
        <v>0</v>
      </c>
      <c r="I37" s="158">
        <v>0</v>
      </c>
      <c r="J37" s="158">
        <v>0</v>
      </c>
      <c r="K37" s="158">
        <v>1</v>
      </c>
      <c r="L37" s="105">
        <f t="shared" ref="L37:L45" si="6">ROUND(M37/$M$57*K37*100,2)</f>
        <v>0.46</v>
      </c>
      <c r="M37" s="158">
        <v>3.51</v>
      </c>
      <c r="N37" s="158">
        <v>0</v>
      </c>
      <c r="O37" s="202">
        <v>0</v>
      </c>
      <c r="P37" s="158">
        <v>0</v>
      </c>
      <c r="Q37" s="158">
        <v>0</v>
      </c>
      <c r="R37" s="112">
        <v>0</v>
      </c>
      <c r="S37" s="112">
        <v>1</v>
      </c>
      <c r="T37" s="105">
        <f t="shared" ref="T37:T45" si="7">ROUND(U37/$M$57*S37*100,2)</f>
        <v>0.46</v>
      </c>
      <c r="U37" s="101">
        <v>3.51</v>
      </c>
      <c r="V37" s="112">
        <v>0.1</v>
      </c>
      <c r="W37" s="112">
        <f t="shared" si="0"/>
        <v>4.6000000000000006E-2</v>
      </c>
      <c r="X37" s="112">
        <v>1</v>
      </c>
      <c r="Y37" s="110">
        <f t="shared" si="5"/>
        <v>0.46</v>
      </c>
      <c r="Z37" s="158"/>
      <c r="AA37" s="158"/>
      <c r="AB37" s="158"/>
    </row>
    <row r="38" spans="1:28" s="104" customFormat="1" ht="18">
      <c r="A38" s="189" t="s">
        <v>476</v>
      </c>
      <c r="B38" s="190" t="s">
        <v>145</v>
      </c>
      <c r="C38" s="158">
        <v>31155</v>
      </c>
      <c r="D38" s="107" t="s">
        <v>218</v>
      </c>
      <c r="E38" s="105">
        <v>0</v>
      </c>
      <c r="F38" s="105">
        <v>0</v>
      </c>
      <c r="G38" s="105">
        <v>0</v>
      </c>
      <c r="H38" s="105">
        <v>0</v>
      </c>
      <c r="I38" s="105">
        <v>0</v>
      </c>
      <c r="J38" s="105">
        <v>0</v>
      </c>
      <c r="K38" s="105">
        <v>1</v>
      </c>
      <c r="L38" s="105">
        <f t="shared" si="6"/>
        <v>0.46</v>
      </c>
      <c r="M38" s="105">
        <v>3.51</v>
      </c>
      <c r="N38" s="98">
        <v>0</v>
      </c>
      <c r="O38" s="125">
        <v>0</v>
      </c>
      <c r="P38" s="98">
        <v>0</v>
      </c>
      <c r="Q38" s="105">
        <v>0</v>
      </c>
      <c r="R38" s="110">
        <v>0</v>
      </c>
      <c r="S38" s="112">
        <v>0.5</v>
      </c>
      <c r="T38" s="105">
        <f t="shared" si="7"/>
        <v>0.12</v>
      </c>
      <c r="U38" s="108">
        <v>1.7549999999999999</v>
      </c>
      <c r="V38" s="105">
        <v>1</v>
      </c>
      <c r="W38" s="110">
        <f t="shared" si="0"/>
        <v>0.24</v>
      </c>
      <c r="X38" s="110">
        <v>1</v>
      </c>
      <c r="Y38" s="110">
        <f t="shared" si="5"/>
        <v>0.46</v>
      </c>
      <c r="Z38" s="105"/>
      <c r="AA38" s="105"/>
      <c r="AB38" s="105"/>
    </row>
    <row r="39" spans="1:28" s="104" customFormat="1" ht="18">
      <c r="A39" s="189" t="s">
        <v>477</v>
      </c>
      <c r="B39" s="190" t="s">
        <v>146</v>
      </c>
      <c r="C39" s="158">
        <v>31155</v>
      </c>
      <c r="D39" s="107" t="s">
        <v>218</v>
      </c>
      <c r="E39" s="105">
        <v>0</v>
      </c>
      <c r="F39" s="105">
        <v>0</v>
      </c>
      <c r="G39" s="105">
        <v>0</v>
      </c>
      <c r="H39" s="105">
        <v>0</v>
      </c>
      <c r="I39" s="105">
        <v>0</v>
      </c>
      <c r="J39" s="105">
        <v>0</v>
      </c>
      <c r="K39" s="105">
        <v>1</v>
      </c>
      <c r="L39" s="105">
        <f t="shared" si="6"/>
        <v>0.46</v>
      </c>
      <c r="M39" s="105">
        <v>3.51</v>
      </c>
      <c r="N39" s="98">
        <v>0</v>
      </c>
      <c r="O39" s="125">
        <v>0</v>
      </c>
      <c r="P39" s="98">
        <v>0</v>
      </c>
      <c r="Q39" s="105">
        <v>0</v>
      </c>
      <c r="R39" s="110">
        <v>0</v>
      </c>
      <c r="S39" s="112">
        <v>1</v>
      </c>
      <c r="T39" s="105">
        <f t="shared" si="7"/>
        <v>0.46</v>
      </c>
      <c r="U39" s="110">
        <v>3.51</v>
      </c>
      <c r="V39" s="110">
        <v>0.3</v>
      </c>
      <c r="W39" s="110">
        <f t="shared" si="0"/>
        <v>0.13800000000000001</v>
      </c>
      <c r="X39" s="110">
        <v>1</v>
      </c>
      <c r="Y39" s="110">
        <f t="shared" si="5"/>
        <v>0.46</v>
      </c>
      <c r="Z39" s="105"/>
      <c r="AA39" s="105"/>
      <c r="AB39" s="105"/>
    </row>
    <row r="40" spans="1:28" s="104" customFormat="1" ht="18">
      <c r="A40" s="189" t="s">
        <v>478</v>
      </c>
      <c r="B40" s="190" t="s">
        <v>147</v>
      </c>
      <c r="C40" s="158">
        <v>31155</v>
      </c>
      <c r="D40" s="107" t="s">
        <v>218</v>
      </c>
      <c r="E40" s="105">
        <v>0</v>
      </c>
      <c r="F40" s="105">
        <v>0</v>
      </c>
      <c r="G40" s="105">
        <v>0</v>
      </c>
      <c r="H40" s="105">
        <v>0</v>
      </c>
      <c r="I40" s="105">
        <v>0</v>
      </c>
      <c r="J40" s="105">
        <v>0</v>
      </c>
      <c r="K40" s="105">
        <v>0</v>
      </c>
      <c r="L40" s="105">
        <f t="shared" si="6"/>
        <v>0</v>
      </c>
      <c r="M40" s="105">
        <v>0</v>
      </c>
      <c r="N40" s="98">
        <v>0</v>
      </c>
      <c r="O40" s="125">
        <v>0</v>
      </c>
      <c r="P40" s="98">
        <v>0</v>
      </c>
      <c r="Q40" s="105"/>
      <c r="R40" s="110"/>
      <c r="S40" s="112">
        <v>0</v>
      </c>
      <c r="T40" s="105">
        <f t="shared" si="7"/>
        <v>0</v>
      </c>
      <c r="U40" s="110">
        <v>0</v>
      </c>
      <c r="V40" s="105">
        <v>0</v>
      </c>
      <c r="W40" s="110">
        <v>0</v>
      </c>
      <c r="X40" s="110">
        <v>0</v>
      </c>
      <c r="Y40" s="110">
        <v>0</v>
      </c>
      <c r="Z40" s="105"/>
      <c r="AA40" s="105"/>
      <c r="AB40" s="105"/>
    </row>
    <row r="41" spans="1:28" s="104" customFormat="1" ht="18">
      <c r="A41" s="189" t="s">
        <v>479</v>
      </c>
      <c r="B41" s="190" t="s">
        <v>114</v>
      </c>
      <c r="C41" s="158">
        <v>31155</v>
      </c>
      <c r="D41" s="107" t="s">
        <v>218</v>
      </c>
      <c r="E41" s="105">
        <v>0</v>
      </c>
      <c r="F41" s="105">
        <v>0</v>
      </c>
      <c r="G41" s="105">
        <v>0</v>
      </c>
      <c r="H41" s="105">
        <v>0</v>
      </c>
      <c r="I41" s="105">
        <v>0</v>
      </c>
      <c r="J41" s="105">
        <v>0</v>
      </c>
      <c r="K41" s="105">
        <v>1</v>
      </c>
      <c r="L41" s="105">
        <f t="shared" si="6"/>
        <v>0.46</v>
      </c>
      <c r="M41" s="105">
        <v>3.51</v>
      </c>
      <c r="N41" s="98">
        <v>0</v>
      </c>
      <c r="O41" s="125">
        <v>0</v>
      </c>
      <c r="P41" s="98">
        <v>0</v>
      </c>
      <c r="Q41" s="105">
        <v>0</v>
      </c>
      <c r="R41" s="110">
        <v>0</v>
      </c>
      <c r="S41" s="112">
        <v>0</v>
      </c>
      <c r="T41" s="105">
        <f t="shared" si="7"/>
        <v>0</v>
      </c>
      <c r="U41" s="110">
        <v>0</v>
      </c>
      <c r="V41" s="110">
        <v>1</v>
      </c>
      <c r="W41" s="110">
        <v>0</v>
      </c>
      <c r="X41" s="110">
        <f t="shared" ref="X41:X45" si="8">V41+Q41</f>
        <v>1</v>
      </c>
      <c r="Y41" s="110">
        <f t="shared" si="5"/>
        <v>0.46</v>
      </c>
      <c r="Z41" s="105"/>
      <c r="AA41" s="105"/>
      <c r="AB41" s="105"/>
    </row>
    <row r="42" spans="1:28" s="104" customFormat="1" ht="18">
      <c r="A42" s="189" t="s">
        <v>480</v>
      </c>
      <c r="B42" s="190" t="s">
        <v>148</v>
      </c>
      <c r="C42" s="158">
        <v>31155</v>
      </c>
      <c r="D42" s="107" t="s">
        <v>218</v>
      </c>
      <c r="E42" s="105">
        <v>0</v>
      </c>
      <c r="F42" s="105">
        <v>0</v>
      </c>
      <c r="G42" s="105">
        <v>0</v>
      </c>
      <c r="H42" s="105">
        <v>0</v>
      </c>
      <c r="I42" s="105">
        <v>0</v>
      </c>
      <c r="J42" s="105">
        <v>0</v>
      </c>
      <c r="K42" s="105">
        <v>1</v>
      </c>
      <c r="L42" s="105">
        <f t="shared" si="6"/>
        <v>0.46</v>
      </c>
      <c r="M42" s="105">
        <v>3.51</v>
      </c>
      <c r="N42" s="98">
        <v>0</v>
      </c>
      <c r="O42" s="125">
        <v>0</v>
      </c>
      <c r="P42" s="98">
        <v>0</v>
      </c>
      <c r="Q42" s="105">
        <v>0</v>
      </c>
      <c r="R42" s="110">
        <v>0</v>
      </c>
      <c r="S42" s="112">
        <v>1</v>
      </c>
      <c r="T42" s="105">
        <f t="shared" si="7"/>
        <v>0.46</v>
      </c>
      <c r="U42" s="110">
        <v>3.51</v>
      </c>
      <c r="V42" s="110">
        <v>0.1</v>
      </c>
      <c r="W42" s="110">
        <f t="shared" si="0"/>
        <v>4.6000000000000006E-2</v>
      </c>
      <c r="X42" s="110">
        <v>1</v>
      </c>
      <c r="Y42" s="110">
        <f t="shared" si="5"/>
        <v>0.46</v>
      </c>
      <c r="Z42" s="105"/>
      <c r="AA42" s="105"/>
      <c r="AB42" s="105"/>
    </row>
    <row r="43" spans="1:28" s="104" customFormat="1" ht="18">
      <c r="A43" s="189" t="s">
        <v>481</v>
      </c>
      <c r="B43" s="190" t="s">
        <v>149</v>
      </c>
      <c r="C43" s="158">
        <v>31155</v>
      </c>
      <c r="D43" s="107" t="s">
        <v>218</v>
      </c>
      <c r="E43" s="105">
        <v>0</v>
      </c>
      <c r="F43" s="105">
        <v>0</v>
      </c>
      <c r="G43" s="105">
        <v>0</v>
      </c>
      <c r="H43" s="105">
        <v>0</v>
      </c>
      <c r="I43" s="105">
        <v>0</v>
      </c>
      <c r="J43" s="105">
        <v>0</v>
      </c>
      <c r="K43" s="105">
        <v>0</v>
      </c>
      <c r="L43" s="105">
        <f t="shared" si="6"/>
        <v>0</v>
      </c>
      <c r="M43" s="105">
        <v>0</v>
      </c>
      <c r="N43" s="98">
        <v>0</v>
      </c>
      <c r="O43" s="125">
        <v>0</v>
      </c>
      <c r="P43" s="98">
        <v>0</v>
      </c>
      <c r="Q43" s="105">
        <v>0</v>
      </c>
      <c r="R43" s="110">
        <v>0</v>
      </c>
      <c r="S43" s="112">
        <v>0</v>
      </c>
      <c r="T43" s="105">
        <f t="shared" si="7"/>
        <v>0</v>
      </c>
      <c r="U43" s="110">
        <v>0</v>
      </c>
      <c r="V43" s="110">
        <v>0</v>
      </c>
      <c r="W43" s="110">
        <v>0</v>
      </c>
      <c r="X43" s="110">
        <f t="shared" si="8"/>
        <v>0</v>
      </c>
      <c r="Y43" s="110">
        <v>0</v>
      </c>
      <c r="Z43" s="105"/>
      <c r="AA43" s="105"/>
      <c r="AB43" s="105"/>
    </row>
    <row r="44" spans="1:28" s="104" customFormat="1" ht="18">
      <c r="A44" s="189" t="s">
        <v>482</v>
      </c>
      <c r="B44" s="190" t="s">
        <v>150</v>
      </c>
      <c r="C44" s="158">
        <v>31155</v>
      </c>
      <c r="D44" s="107" t="s">
        <v>218</v>
      </c>
      <c r="E44" s="105">
        <v>0</v>
      </c>
      <c r="F44" s="105">
        <v>0</v>
      </c>
      <c r="G44" s="105">
        <v>0</v>
      </c>
      <c r="H44" s="105">
        <v>0</v>
      </c>
      <c r="I44" s="105">
        <v>0</v>
      </c>
      <c r="J44" s="105">
        <v>0</v>
      </c>
      <c r="K44" s="105">
        <v>1</v>
      </c>
      <c r="L44" s="105">
        <f t="shared" si="6"/>
        <v>0.46</v>
      </c>
      <c r="M44" s="105">
        <v>3.51</v>
      </c>
      <c r="N44" s="98">
        <v>0</v>
      </c>
      <c r="O44" s="125">
        <v>0</v>
      </c>
      <c r="P44" s="98">
        <v>0</v>
      </c>
      <c r="Q44" s="105">
        <v>0</v>
      </c>
      <c r="R44" s="110">
        <v>0</v>
      </c>
      <c r="S44" s="112">
        <v>1</v>
      </c>
      <c r="T44" s="105">
        <f t="shared" si="7"/>
        <v>0.46</v>
      </c>
      <c r="U44" s="110">
        <v>3.51</v>
      </c>
      <c r="V44" s="110">
        <v>0.1</v>
      </c>
      <c r="W44" s="110">
        <f t="shared" si="0"/>
        <v>4.6000000000000006E-2</v>
      </c>
      <c r="X44" s="110">
        <v>1</v>
      </c>
      <c r="Y44" s="110">
        <f t="shared" si="5"/>
        <v>0.46</v>
      </c>
      <c r="Z44" s="105"/>
      <c r="AA44" s="105"/>
      <c r="AB44" s="105"/>
    </row>
    <row r="45" spans="1:28" s="104" customFormat="1" ht="18">
      <c r="A45" s="180" t="s">
        <v>483</v>
      </c>
      <c r="B45" s="181" t="s">
        <v>151</v>
      </c>
      <c r="C45" s="203">
        <v>31155</v>
      </c>
      <c r="D45" s="129" t="s">
        <v>218</v>
      </c>
      <c r="E45" s="118">
        <v>0</v>
      </c>
      <c r="F45" s="118">
        <v>0</v>
      </c>
      <c r="G45" s="118">
        <v>0</v>
      </c>
      <c r="H45" s="118">
        <v>0</v>
      </c>
      <c r="I45" s="118">
        <v>0</v>
      </c>
      <c r="J45" s="118">
        <v>0</v>
      </c>
      <c r="K45" s="118">
        <v>0</v>
      </c>
      <c r="L45" s="118">
        <f t="shared" si="6"/>
        <v>0</v>
      </c>
      <c r="M45" s="118">
        <v>0</v>
      </c>
      <c r="N45" s="185">
        <v>0</v>
      </c>
      <c r="O45" s="200">
        <v>0</v>
      </c>
      <c r="P45" s="185">
        <v>0</v>
      </c>
      <c r="Q45" s="118">
        <v>0</v>
      </c>
      <c r="R45" s="131">
        <v>0</v>
      </c>
      <c r="S45" s="204">
        <v>0</v>
      </c>
      <c r="T45" s="105">
        <f t="shared" si="7"/>
        <v>0</v>
      </c>
      <c r="U45" s="131">
        <v>0</v>
      </c>
      <c r="V45" s="131">
        <v>0</v>
      </c>
      <c r="W45" s="131">
        <v>0</v>
      </c>
      <c r="X45" s="131">
        <f t="shared" si="8"/>
        <v>0</v>
      </c>
      <c r="Y45" s="110">
        <v>0</v>
      </c>
      <c r="Z45" s="118"/>
      <c r="AA45" s="118"/>
      <c r="AB45" s="118"/>
    </row>
    <row r="46" spans="1:28" s="104" customFormat="1" ht="18">
      <c r="A46" s="197">
        <v>54</v>
      </c>
      <c r="B46" s="183" t="s">
        <v>21</v>
      </c>
      <c r="C46" s="185"/>
      <c r="D46" s="185"/>
      <c r="E46" s="185"/>
      <c r="F46" s="185"/>
      <c r="G46" s="185"/>
      <c r="H46" s="185">
        <v>0</v>
      </c>
      <c r="I46" s="185">
        <v>0</v>
      </c>
      <c r="J46" s="185">
        <v>0</v>
      </c>
      <c r="K46" s="185"/>
      <c r="L46" s="185"/>
      <c r="M46" s="185">
        <f>SUM(M47:M51)</f>
        <v>199.25</v>
      </c>
      <c r="N46" s="185"/>
      <c r="O46" s="200"/>
      <c r="P46" s="185"/>
      <c r="Q46" s="185"/>
      <c r="R46" s="186"/>
      <c r="S46" s="186"/>
      <c r="T46" s="122"/>
      <c r="U46" s="185">
        <f>SUM(U47:U51)</f>
        <v>199.25</v>
      </c>
      <c r="V46" s="186"/>
      <c r="W46" s="186"/>
      <c r="X46" s="186"/>
      <c r="Y46" s="186"/>
      <c r="Z46" s="185"/>
      <c r="AA46" s="185"/>
      <c r="AB46" s="185"/>
    </row>
    <row r="47" spans="1:28" s="104" customFormat="1" ht="18">
      <c r="A47" s="187" t="s">
        <v>484</v>
      </c>
      <c r="B47" s="188" t="s">
        <v>135</v>
      </c>
      <c r="C47" s="203">
        <v>31155</v>
      </c>
      <c r="D47" s="107" t="s">
        <v>218</v>
      </c>
      <c r="E47" s="158">
        <v>0</v>
      </c>
      <c r="F47" s="158">
        <v>0</v>
      </c>
      <c r="G47" s="158">
        <v>0</v>
      </c>
      <c r="H47" s="158">
        <v>0</v>
      </c>
      <c r="I47" s="158">
        <v>0</v>
      </c>
      <c r="J47" s="158">
        <v>0</v>
      </c>
      <c r="K47" s="98">
        <v>1</v>
      </c>
      <c r="L47" s="105">
        <f>ROUND(M47/$M$57*K47*100,2)</f>
        <v>2.52</v>
      </c>
      <c r="M47" s="98">
        <v>19.25</v>
      </c>
      <c r="N47" s="98">
        <v>0</v>
      </c>
      <c r="O47" s="125">
        <v>0</v>
      </c>
      <c r="P47" s="98">
        <v>0</v>
      </c>
      <c r="Q47" s="98">
        <v>0</v>
      </c>
      <c r="R47" s="101">
        <v>0</v>
      </c>
      <c r="S47" s="101">
        <v>1</v>
      </c>
      <c r="T47" s="105">
        <f t="shared" ref="T47:T50" si="9">ROUND(U47/$M$57*S47*100,2)</f>
        <v>2.52</v>
      </c>
      <c r="U47" s="101">
        <v>19.25</v>
      </c>
      <c r="V47" s="101">
        <v>1</v>
      </c>
      <c r="W47" s="101">
        <f t="shared" si="0"/>
        <v>2.52</v>
      </c>
      <c r="X47" s="101">
        <f t="shared" ref="X47:X51" si="10">V47+Q47</f>
        <v>1</v>
      </c>
      <c r="Y47" s="110">
        <f t="shared" ref="Y47:Y55" si="11">L47/K47*X47</f>
        <v>2.52</v>
      </c>
      <c r="Z47" s="98"/>
      <c r="AA47" s="98"/>
      <c r="AB47" s="98"/>
    </row>
    <row r="48" spans="1:28" ht="17.25">
      <c r="A48" s="189" t="s">
        <v>485</v>
      </c>
      <c r="B48" s="190" t="s">
        <v>136</v>
      </c>
      <c r="C48" s="98">
        <v>31155</v>
      </c>
      <c r="D48" s="107" t="s">
        <v>218</v>
      </c>
      <c r="E48" s="105">
        <v>0</v>
      </c>
      <c r="F48" s="105">
        <v>0</v>
      </c>
      <c r="G48" s="105">
        <v>0</v>
      </c>
      <c r="H48" s="105">
        <v>0</v>
      </c>
      <c r="I48" s="105">
        <v>0</v>
      </c>
      <c r="J48" s="105">
        <v>0</v>
      </c>
      <c r="K48" s="105">
        <v>1</v>
      </c>
      <c r="L48" s="105">
        <f>ROUND(M48/$M$57*K48*100,2)</f>
        <v>1.31</v>
      </c>
      <c r="M48" s="105">
        <v>10</v>
      </c>
      <c r="N48" s="105">
        <v>0</v>
      </c>
      <c r="O48" s="108">
        <v>0</v>
      </c>
      <c r="P48" s="105">
        <v>0</v>
      </c>
      <c r="Q48" s="105">
        <v>0</v>
      </c>
      <c r="R48" s="110">
        <v>0</v>
      </c>
      <c r="S48" s="110">
        <v>1</v>
      </c>
      <c r="T48" s="105">
        <f t="shared" si="9"/>
        <v>1.31</v>
      </c>
      <c r="U48" s="110">
        <v>10</v>
      </c>
      <c r="V48" s="110">
        <v>1</v>
      </c>
      <c r="W48" s="110">
        <f t="shared" si="0"/>
        <v>1.31</v>
      </c>
      <c r="X48" s="110">
        <f t="shared" si="10"/>
        <v>1</v>
      </c>
      <c r="Y48" s="110">
        <f t="shared" si="11"/>
        <v>1.31</v>
      </c>
      <c r="Z48" s="105"/>
      <c r="AA48" s="105"/>
      <c r="AB48" s="105"/>
    </row>
    <row r="49" spans="1:28" ht="17.25">
      <c r="A49" s="189" t="s">
        <v>486</v>
      </c>
      <c r="B49" s="190" t="s">
        <v>20</v>
      </c>
      <c r="C49" s="105">
        <v>31155</v>
      </c>
      <c r="D49" s="107" t="s">
        <v>218</v>
      </c>
      <c r="E49" s="105">
        <v>0</v>
      </c>
      <c r="F49" s="105">
        <v>0</v>
      </c>
      <c r="G49" s="105">
        <v>0</v>
      </c>
      <c r="H49" s="105">
        <v>0</v>
      </c>
      <c r="I49" s="105">
        <v>0</v>
      </c>
      <c r="J49" s="105">
        <v>0</v>
      </c>
      <c r="K49" s="105">
        <v>1</v>
      </c>
      <c r="L49" s="105">
        <f>ROUND(M49/$M$57*K49*100,2)</f>
        <v>3.28</v>
      </c>
      <c r="M49" s="105">
        <v>25</v>
      </c>
      <c r="N49" s="105">
        <v>0</v>
      </c>
      <c r="O49" s="108">
        <v>0</v>
      </c>
      <c r="P49" s="105">
        <v>0</v>
      </c>
      <c r="Q49" s="105">
        <v>0</v>
      </c>
      <c r="R49" s="110">
        <v>0</v>
      </c>
      <c r="S49" s="110">
        <v>1</v>
      </c>
      <c r="T49" s="105">
        <f t="shared" si="9"/>
        <v>3.28</v>
      </c>
      <c r="U49" s="108">
        <v>25</v>
      </c>
      <c r="V49" s="108">
        <v>1</v>
      </c>
      <c r="W49" s="110">
        <f t="shared" si="0"/>
        <v>3.28</v>
      </c>
      <c r="X49" s="110">
        <f t="shared" si="10"/>
        <v>1</v>
      </c>
      <c r="Y49" s="110">
        <f t="shared" si="11"/>
        <v>3.28</v>
      </c>
      <c r="Z49" s="105"/>
      <c r="AA49" s="105"/>
      <c r="AB49" s="105"/>
    </row>
    <row r="50" spans="1:28" ht="17.25">
      <c r="A50" s="189" t="s">
        <v>487</v>
      </c>
      <c r="B50" s="190" t="s">
        <v>19</v>
      </c>
      <c r="C50" s="105">
        <v>31155</v>
      </c>
      <c r="D50" s="107" t="s">
        <v>218</v>
      </c>
      <c r="E50" s="105">
        <v>0</v>
      </c>
      <c r="F50" s="105">
        <v>0</v>
      </c>
      <c r="G50" s="105">
        <v>0</v>
      </c>
      <c r="H50" s="105">
        <v>0</v>
      </c>
      <c r="I50" s="105">
        <v>0</v>
      </c>
      <c r="J50" s="105">
        <v>0</v>
      </c>
      <c r="K50" s="105">
        <v>1</v>
      </c>
      <c r="L50" s="105">
        <f>ROUND(M50/$M$57*K50*100,2)</f>
        <v>16.38</v>
      </c>
      <c r="M50" s="105">
        <v>125</v>
      </c>
      <c r="N50" s="105">
        <v>0</v>
      </c>
      <c r="O50" s="108">
        <v>0</v>
      </c>
      <c r="P50" s="105">
        <v>0</v>
      </c>
      <c r="Q50" s="105">
        <v>0</v>
      </c>
      <c r="R50" s="110">
        <v>0</v>
      </c>
      <c r="S50" s="110">
        <v>1</v>
      </c>
      <c r="T50" s="105">
        <f t="shared" si="9"/>
        <v>16.38</v>
      </c>
      <c r="U50" s="110">
        <v>125</v>
      </c>
      <c r="V50" s="110">
        <v>1</v>
      </c>
      <c r="W50" s="110">
        <f t="shared" si="0"/>
        <v>16.38</v>
      </c>
      <c r="X50" s="110">
        <f t="shared" si="10"/>
        <v>1</v>
      </c>
      <c r="Y50" s="110">
        <f t="shared" si="11"/>
        <v>16.38</v>
      </c>
      <c r="Z50" s="105"/>
      <c r="AA50" s="105"/>
      <c r="AB50" s="105"/>
    </row>
    <row r="51" spans="1:28" ht="17.25">
      <c r="A51" s="189" t="s">
        <v>488</v>
      </c>
      <c r="B51" s="181" t="s">
        <v>137</v>
      </c>
      <c r="C51" s="105">
        <v>31155</v>
      </c>
      <c r="D51" s="107" t="s">
        <v>218</v>
      </c>
      <c r="E51" s="105">
        <v>0</v>
      </c>
      <c r="F51" s="105">
        <v>0</v>
      </c>
      <c r="G51" s="105">
        <v>0</v>
      </c>
      <c r="H51" s="105">
        <v>0</v>
      </c>
      <c r="I51" s="105">
        <v>0</v>
      </c>
      <c r="J51" s="105">
        <v>0</v>
      </c>
      <c r="K51" s="105">
        <v>1</v>
      </c>
      <c r="L51" s="105">
        <f>ROUND(M51/$M$57*K51*100,2)</f>
        <v>2.62</v>
      </c>
      <c r="M51" s="105">
        <v>20</v>
      </c>
      <c r="N51" s="105">
        <v>0</v>
      </c>
      <c r="O51" s="108">
        <v>0</v>
      </c>
      <c r="P51" s="105">
        <v>0</v>
      </c>
      <c r="Q51" s="105">
        <v>0</v>
      </c>
      <c r="R51" s="110">
        <v>0</v>
      </c>
      <c r="S51" s="110">
        <v>1</v>
      </c>
      <c r="T51" s="105">
        <f>ROUND(U51/$M$57*S51*100,2)</f>
        <v>2.62</v>
      </c>
      <c r="U51" s="110">
        <v>20</v>
      </c>
      <c r="V51" s="110">
        <v>1</v>
      </c>
      <c r="W51" s="110">
        <f t="shared" si="0"/>
        <v>2.62</v>
      </c>
      <c r="X51" s="110">
        <f t="shared" si="10"/>
        <v>1</v>
      </c>
      <c r="Y51" s="110">
        <f t="shared" si="11"/>
        <v>2.62</v>
      </c>
      <c r="Z51" s="105"/>
      <c r="AA51" s="105"/>
      <c r="AB51" s="105"/>
    </row>
    <row r="52" spans="1:28" ht="17.25">
      <c r="A52" s="197">
        <v>56</v>
      </c>
      <c r="B52" s="183" t="s">
        <v>157</v>
      </c>
      <c r="C52" s="105"/>
      <c r="D52" s="105"/>
      <c r="E52" s="105"/>
      <c r="F52" s="105"/>
      <c r="G52" s="105"/>
      <c r="H52" s="105">
        <v>0</v>
      </c>
      <c r="I52" s="105">
        <v>0</v>
      </c>
      <c r="J52" s="105">
        <v>0</v>
      </c>
      <c r="K52" s="105"/>
      <c r="L52" s="105"/>
      <c r="M52" s="105">
        <f>SUM(M53:M56)</f>
        <v>213.5</v>
      </c>
      <c r="N52" s="105"/>
      <c r="O52" s="108"/>
      <c r="P52" s="105"/>
      <c r="Q52" s="105"/>
      <c r="R52" s="110"/>
      <c r="S52" s="110"/>
      <c r="T52" s="109"/>
      <c r="U52" s="105">
        <f>SUM(U53:U56)</f>
        <v>211.5</v>
      </c>
      <c r="V52" s="110"/>
      <c r="W52" s="110"/>
      <c r="X52" s="110"/>
      <c r="Y52" s="110"/>
      <c r="Z52" s="105"/>
      <c r="AA52" s="105"/>
      <c r="AB52" s="105"/>
    </row>
    <row r="53" spans="1:28" ht="17.25">
      <c r="A53" s="189" t="s">
        <v>489</v>
      </c>
      <c r="B53" s="188" t="s">
        <v>152</v>
      </c>
      <c r="C53" s="105">
        <v>31155</v>
      </c>
      <c r="D53" s="107" t="s">
        <v>218</v>
      </c>
      <c r="E53" s="105">
        <v>0</v>
      </c>
      <c r="F53" s="105">
        <v>0</v>
      </c>
      <c r="G53" s="105">
        <v>0</v>
      </c>
      <c r="H53" s="105">
        <v>0</v>
      </c>
      <c r="I53" s="105">
        <v>0</v>
      </c>
      <c r="J53" s="105">
        <v>0</v>
      </c>
      <c r="K53" s="105">
        <v>1</v>
      </c>
      <c r="L53" s="105">
        <f>ROUND(M53/$M$57*K53*100,2)</f>
        <v>0.2</v>
      </c>
      <c r="M53" s="105">
        <v>1.5</v>
      </c>
      <c r="N53" s="105">
        <v>0</v>
      </c>
      <c r="O53" s="108">
        <v>0</v>
      </c>
      <c r="P53" s="105">
        <v>0</v>
      </c>
      <c r="Q53" s="105">
        <v>0</v>
      </c>
      <c r="R53" s="110">
        <v>0</v>
      </c>
      <c r="S53" s="110">
        <v>0.34</v>
      </c>
      <c r="T53" s="105">
        <f>ROUND(U53/$M$57*S53*100,2)</f>
        <v>0.02</v>
      </c>
      <c r="U53" s="110">
        <v>0.5</v>
      </c>
      <c r="V53" s="110">
        <v>0.2</v>
      </c>
      <c r="W53" s="110">
        <f t="shared" si="0"/>
        <v>1.1764705882352941E-2</v>
      </c>
      <c r="X53" s="110">
        <v>1</v>
      </c>
      <c r="Y53" s="110">
        <f t="shared" si="11"/>
        <v>0.2</v>
      </c>
      <c r="Z53" s="105"/>
      <c r="AA53" s="105"/>
      <c r="AB53" s="105"/>
    </row>
    <row r="54" spans="1:28" ht="17.25">
      <c r="A54" s="189" t="s">
        <v>490</v>
      </c>
      <c r="B54" s="190" t="s">
        <v>153</v>
      </c>
      <c r="C54" s="105">
        <v>31155</v>
      </c>
      <c r="D54" s="107" t="s">
        <v>218</v>
      </c>
      <c r="E54" s="105">
        <v>0</v>
      </c>
      <c r="F54" s="105">
        <v>0</v>
      </c>
      <c r="G54" s="105">
        <v>0</v>
      </c>
      <c r="H54" s="105">
        <v>0</v>
      </c>
      <c r="I54" s="105">
        <v>0</v>
      </c>
      <c r="J54" s="105">
        <v>0</v>
      </c>
      <c r="K54" s="105">
        <v>1</v>
      </c>
      <c r="L54" s="105">
        <f>ROUND(M54/$M$57*K54*100,2)</f>
        <v>0.26</v>
      </c>
      <c r="M54" s="105">
        <v>2</v>
      </c>
      <c r="N54" s="105">
        <v>0</v>
      </c>
      <c r="O54" s="108">
        <v>0</v>
      </c>
      <c r="P54" s="105">
        <v>0</v>
      </c>
      <c r="Q54" s="105">
        <v>0</v>
      </c>
      <c r="R54" s="110">
        <v>0</v>
      </c>
      <c r="S54" s="110">
        <v>0.5</v>
      </c>
      <c r="T54" s="105">
        <f>ROUND(U54/$M$57*S54*100,2)</f>
        <v>7.0000000000000007E-2</v>
      </c>
      <c r="U54" s="110">
        <v>1</v>
      </c>
      <c r="V54" s="110">
        <v>0.5</v>
      </c>
      <c r="W54" s="110">
        <f t="shared" si="0"/>
        <v>7.0000000000000007E-2</v>
      </c>
      <c r="X54" s="110">
        <v>1</v>
      </c>
      <c r="Y54" s="110">
        <f t="shared" si="11"/>
        <v>0.26</v>
      </c>
      <c r="Z54" s="105"/>
      <c r="AA54" s="105"/>
      <c r="AB54" s="105"/>
    </row>
    <row r="55" spans="1:28" ht="17.25">
      <c r="A55" s="189" t="s">
        <v>491</v>
      </c>
      <c r="B55" s="114" t="s">
        <v>154</v>
      </c>
      <c r="C55" s="105">
        <v>31155</v>
      </c>
      <c r="D55" s="107" t="s">
        <v>218</v>
      </c>
      <c r="E55" s="105">
        <v>0</v>
      </c>
      <c r="F55" s="105">
        <v>0</v>
      </c>
      <c r="G55" s="105">
        <v>0</v>
      </c>
      <c r="H55" s="105">
        <v>0</v>
      </c>
      <c r="I55" s="105">
        <v>0</v>
      </c>
      <c r="J55" s="105">
        <v>0</v>
      </c>
      <c r="K55" s="105">
        <v>1</v>
      </c>
      <c r="L55" s="105">
        <f>ROUND(M55/$M$57*K55*100,2)</f>
        <v>27.52</v>
      </c>
      <c r="M55" s="105">
        <v>210</v>
      </c>
      <c r="N55" s="105">
        <v>0</v>
      </c>
      <c r="O55" s="108">
        <v>0</v>
      </c>
      <c r="P55" s="105">
        <v>0</v>
      </c>
      <c r="Q55" s="105">
        <v>0</v>
      </c>
      <c r="R55" s="110">
        <v>0</v>
      </c>
      <c r="S55" s="110">
        <v>1</v>
      </c>
      <c r="T55" s="105">
        <f>ROUND(U55/$M$57*S55*100,2)</f>
        <v>27.52</v>
      </c>
      <c r="U55" s="110">
        <v>210</v>
      </c>
      <c r="V55" s="110">
        <v>0.6</v>
      </c>
      <c r="W55" s="110">
        <f t="shared" si="0"/>
        <v>16.512</v>
      </c>
      <c r="X55" s="110">
        <v>0.85</v>
      </c>
      <c r="Y55" s="110">
        <f t="shared" si="11"/>
        <v>23.391999999999999</v>
      </c>
      <c r="Z55" s="105"/>
      <c r="AA55" s="105"/>
      <c r="AB55" s="105"/>
    </row>
    <row r="56" spans="1:28" ht="17.25">
      <c r="A56" s="189" t="s">
        <v>492</v>
      </c>
      <c r="B56" s="114" t="s">
        <v>155</v>
      </c>
      <c r="C56" s="105">
        <v>31155</v>
      </c>
      <c r="D56" s="107" t="s">
        <v>218</v>
      </c>
      <c r="E56" s="105">
        <v>0</v>
      </c>
      <c r="F56" s="105">
        <v>0</v>
      </c>
      <c r="G56" s="105">
        <v>0</v>
      </c>
      <c r="H56" s="105">
        <v>0</v>
      </c>
      <c r="I56" s="105">
        <v>0</v>
      </c>
      <c r="J56" s="105">
        <v>0</v>
      </c>
      <c r="K56" s="105">
        <v>0</v>
      </c>
      <c r="L56" s="105">
        <f>ROUND(M56/$M$57*K56*100,2)</f>
        <v>0</v>
      </c>
      <c r="M56" s="105">
        <v>0</v>
      </c>
      <c r="N56" s="105">
        <v>0</v>
      </c>
      <c r="O56" s="108">
        <v>0</v>
      </c>
      <c r="P56" s="105">
        <v>0</v>
      </c>
      <c r="Q56" s="105">
        <v>0</v>
      </c>
      <c r="R56" s="110">
        <v>0</v>
      </c>
      <c r="S56" s="131">
        <v>0</v>
      </c>
      <c r="T56" s="105">
        <f>ROUND(U56/$U$57*S56*100,2)</f>
        <v>0</v>
      </c>
      <c r="U56" s="110">
        <v>0</v>
      </c>
      <c r="V56" s="110">
        <v>0</v>
      </c>
      <c r="W56" s="110">
        <v>0</v>
      </c>
      <c r="X56" s="110">
        <f t="shared" ref="X56" si="12">V56+Q56</f>
        <v>0</v>
      </c>
      <c r="Y56" s="110">
        <v>0</v>
      </c>
      <c r="Z56" s="105"/>
      <c r="AA56" s="105"/>
      <c r="AB56" s="105"/>
    </row>
    <row r="57" spans="1:28" ht="15">
      <c r="A57" s="160" t="s">
        <v>452</v>
      </c>
      <c r="B57" s="205" t="s">
        <v>453</v>
      </c>
      <c r="C57" s="162"/>
      <c r="D57" s="162"/>
      <c r="E57" s="160"/>
      <c r="F57" s="163">
        <v>0</v>
      </c>
      <c r="G57" s="163">
        <v>0</v>
      </c>
      <c r="H57" s="164">
        <f>SUM(H22:H22)</f>
        <v>0</v>
      </c>
      <c r="I57" s="163" t="e">
        <f>#REF!+#REF!+#REF!+#REF!+#REF!+#REF!+#REF!+#REF!+#REF!+#REF!+#REF!+#REF!+#REF!+#REF!+#REF!+#REF!+#REF!+#REF!+#REF!+#REF!+#REF!+#REF!+#REF!+#REF!+#REF!+#REF!+#REF!+#REF!+#REF!+#REF!+#REF!+#REF!+#REF!+#REF!+#REF!+#REF!+#REF!+#REF!+#REF!+#REF!+#REF!+#REF!+#REF!+#REF!+#REF!+#REF!+#REF!+#REF!+#REF!+#REF!+#REF!+#REF!+#REF!+#REF!+#REF!+#REF!+#REF!+#REF!+#REF!+#REF!+#REF!+#REF!+#REF!+#REF!+#REF!+#REF!+#REF!+#REF!+I56+I55+I54+I53+I52+I51+I50+I49+I48+I47+I46+I45+I44+I43+I42+I41+I39+I37+I34+I33+I32+I31+I30+I29+I28+I27+I26+I25+I24+#REF!+I22+I21</f>
        <v>#REF!</v>
      </c>
      <c r="J57" s="163" t="e">
        <f>#REF!+#REF!+#REF!+#REF!+#REF!+#REF!+#REF!+#REF!+#REF!+#REF!+#REF!+#REF!+#REF!+#REF!+#REF!+#REF!+#REF!+#REF!+#REF!+#REF!+#REF!+#REF!+#REF!+#REF!+#REF!+#REF!+#REF!+#REF!+#REF!+#REF!+#REF!+#REF!+#REF!+#REF!+#REF!+#REF!+#REF!+#REF!+#REF!+#REF!+#REF!+#REF!+#REF!+#REF!+#REF!+#REF!+#REF!+#REF!+#REF!+#REF!+#REF!+#REF!+#REF!+#REF!+#REF!+#REF!+#REF!+#REF!+#REF!+#REF!+#REF!+#REF!+#REF!+#REF!+#REF!+#REF!+#REF!+#REF!+J56+J55+J54+J53+J52+J51+J50+J49+J48+J47+J46+J45+J44+J43+J42+J41+J39+J37+J34+J33+J32+J31+J30+J29+J28+J27+J26+J25+J24+#REF!+J22+J21</f>
        <v>#REF!</v>
      </c>
      <c r="K57" s="164"/>
      <c r="L57" s="163">
        <f>ROUNDUP(SUM(L22:L56),0)</f>
        <v>100</v>
      </c>
      <c r="M57" s="163">
        <f>M52+M46+M36+M23+M21</f>
        <v>763.03</v>
      </c>
      <c r="N57" s="164"/>
      <c r="O57" s="163" t="e">
        <f>#REF!+#REF!+#REF!+#REF!+#REF!+#REF!+#REF!+#REF!+#REF!+#REF!+#REF!+#REF!+#REF!+#REF!+#REF!+#REF!+#REF!+#REF!+#REF!+#REF!+#REF!+#REF!+#REF!+#REF!+#REF!+#REF!+#REF!+#REF!+#REF!+#REF!+#REF!+#REF!+#REF!+#REF!+#REF!+#REF!+#REF!+#REF!+#REF!+#REF!+#REF!+#REF!+#REF!+#REF!+#REF!+#REF!+#REF!+#REF!+#REF!+#REF!+#REF!+#REF!+#REF!+#REF!+#REF!+#REF!+#REF!+#REF!+#REF!+#REF!+#REF!+#REF!+#REF!+#REF!+#REF!+#REF!+#REF!+#REF!+O56+O55+O54+O53+O52+O51+O50+O49+O48+O47+O46+O45+O44+O43+O42+O41+O39+O37+O34+O33+O32+O31+O30+O29+O28+O27+O26+O25+O24+#REF!+O22+O21</f>
        <v>#REF!</v>
      </c>
      <c r="P57" s="163" t="e">
        <f>#REF!+#REF!+#REF!+#REF!+#REF!+#REF!+#REF!+#REF!+#REF!+#REF!+#REF!+#REF!+#REF!+#REF!+#REF!+#REF!+#REF!+#REF!+#REF!+#REF!+#REF!+#REF!+#REF!+#REF!+#REF!+#REF!+#REF!+#REF!+#REF!+#REF!+#REF!+#REF!+#REF!+#REF!+#REF!+#REF!+#REF!+#REF!+#REF!+#REF!+#REF!+#REF!+#REF!+#REF!+#REF!+#REF!+#REF!+#REF!+#REF!+#REF!+#REF!+#REF!+#REF!+#REF!+#REF!+#REF!+#REF!+#REF!+#REF!+#REF!+#REF!+#REF!+#REF!+#REF!+#REF!+#REF!+#REF!+#REF!+P56+P55+P54+P53+P52+P51+P50+P49+P48+P47+P46+P45+P44+P43+P42+P41+P39+P37+P34+P33+P32+P31+P30+P29+P28+P27+P26+P25+P24+#REF!+P22+P21</f>
        <v>#REF!</v>
      </c>
      <c r="Q57" s="163"/>
      <c r="R57" s="163" t="e">
        <f>#REF!+#REF!+#REF!+#REF!+#REF!+#REF!+#REF!+#REF!+#REF!+#REF!+#REF!+#REF!+#REF!+#REF!+#REF!+#REF!+#REF!+#REF!+#REF!+#REF!+#REF!+#REF!+#REF!+#REF!+#REF!+#REF!+#REF!+#REF!+#REF!+#REF!+#REF!+#REF!+#REF!+#REF!+#REF!+#REF!+#REF!+#REF!+#REF!+#REF!+#REF!+#REF!+#REF!+#REF!+#REF!+#REF!+#REF!+#REF!+#REF!+#REF!+#REF!+#REF!+#REF!+#REF!+#REF!+#REF!+#REF!+#REF!+#REF!+#REF!+#REF!+#REF!+#REF!+#REF!+#REF!+#REF!+#REF!+#REF!+R56+R55+R54+R53+R52+R51+R50+R49+R48+R47+R46+R45+R44+R43+R42+R41+R39+R37+R34+R33+R32+R31+R30+R29+R28+R27+R26+R25+R24+#REF!+R22+R21</f>
        <v>#REF!</v>
      </c>
      <c r="S57" s="163"/>
      <c r="T57" s="163">
        <f>ROUND(SUM(T22:T56),0)</f>
        <v>95</v>
      </c>
      <c r="U57" s="163">
        <f>U52+U46+U36+U23+U21</f>
        <v>730.38499999999999</v>
      </c>
      <c r="V57" s="163"/>
      <c r="W57" s="163">
        <f>SUM(W21:W56)</f>
        <v>82.183764705882353</v>
      </c>
      <c r="X57" s="163"/>
      <c r="Y57" s="163">
        <f>SUM(Y21:Y56)</f>
        <v>94.762000000000015</v>
      </c>
      <c r="Z57" s="160"/>
      <c r="AA57" s="160"/>
      <c r="AB57" s="160"/>
    </row>
    <row r="58" spans="1:28" ht="15" hidden="1">
      <c r="A58" s="160"/>
      <c r="B58" s="205" t="s">
        <v>493</v>
      </c>
      <c r="C58" s="162"/>
      <c r="D58" s="162"/>
      <c r="E58" s="160"/>
      <c r="F58" s="163"/>
      <c r="G58" s="163"/>
      <c r="H58" s="164"/>
      <c r="I58" s="163"/>
      <c r="J58" s="163"/>
      <c r="K58" s="164"/>
      <c r="L58" s="163"/>
      <c r="M58" s="163">
        <v>0.89</v>
      </c>
      <c r="N58" s="164"/>
      <c r="O58" s="163"/>
      <c r="P58" s="163"/>
      <c r="Q58" s="163"/>
      <c r="R58" s="163"/>
      <c r="S58" s="163"/>
      <c r="T58" s="163"/>
      <c r="U58" s="163">
        <v>0.43</v>
      </c>
      <c r="V58" s="163"/>
      <c r="W58" s="163"/>
      <c r="X58" s="163"/>
      <c r="Y58" s="163"/>
      <c r="Z58" s="160"/>
      <c r="AA58" s="160"/>
      <c r="AB58" s="160"/>
    </row>
    <row r="59" spans="1:28" ht="15" hidden="1">
      <c r="A59" s="160"/>
      <c r="B59" s="206" t="s">
        <v>165</v>
      </c>
      <c r="C59" s="166"/>
      <c r="D59" s="166"/>
      <c r="E59" s="160"/>
      <c r="F59" s="164">
        <v>0</v>
      </c>
      <c r="G59" s="164">
        <v>0</v>
      </c>
      <c r="H59" s="164">
        <f t="shared" ref="H59:Y59" si="13">H57</f>
        <v>0</v>
      </c>
      <c r="I59" s="164" t="e">
        <f t="shared" si="13"/>
        <v>#REF!</v>
      </c>
      <c r="J59" s="164" t="e">
        <f t="shared" si="13"/>
        <v>#REF!</v>
      </c>
      <c r="K59" s="164"/>
      <c r="L59" s="164">
        <f t="shared" si="13"/>
        <v>100</v>
      </c>
      <c r="M59" s="163">
        <f>SUM(M57:M58)</f>
        <v>763.92</v>
      </c>
      <c r="N59" s="164">
        <f t="shared" si="13"/>
        <v>0</v>
      </c>
      <c r="O59" s="164" t="e">
        <f t="shared" si="13"/>
        <v>#REF!</v>
      </c>
      <c r="P59" s="164" t="e">
        <f t="shared" si="13"/>
        <v>#REF!</v>
      </c>
      <c r="Q59" s="164">
        <f t="shared" si="13"/>
        <v>0</v>
      </c>
      <c r="R59" s="164" t="e">
        <f t="shared" si="13"/>
        <v>#REF!</v>
      </c>
      <c r="S59" s="164"/>
      <c r="T59" s="164">
        <f t="shared" si="13"/>
        <v>95</v>
      </c>
      <c r="U59" s="163">
        <f>SUM(U57:U58)</f>
        <v>730.81499999999994</v>
      </c>
      <c r="V59" s="164">
        <f t="shared" si="13"/>
        <v>0</v>
      </c>
      <c r="W59" s="163">
        <f t="shared" si="13"/>
        <v>82.183764705882353</v>
      </c>
      <c r="X59" s="164">
        <f t="shared" si="13"/>
        <v>0</v>
      </c>
      <c r="Y59" s="163">
        <f t="shared" si="13"/>
        <v>94.762000000000015</v>
      </c>
      <c r="Z59" s="160"/>
      <c r="AA59" s="160"/>
      <c r="AB59" s="160"/>
    </row>
    <row r="60" spans="1:28" ht="15">
      <c r="A60" s="167"/>
      <c r="B60" s="167"/>
      <c r="C60" s="168"/>
      <c r="D60" s="168"/>
      <c r="E60" s="168"/>
      <c r="F60" s="168"/>
      <c r="G60" s="168"/>
      <c r="H60" s="168"/>
      <c r="I60" s="168"/>
      <c r="J60" s="168"/>
      <c r="K60" s="169"/>
      <c r="L60" s="590"/>
      <c r="M60" s="590"/>
      <c r="N60" s="170"/>
      <c r="O60" s="169"/>
      <c r="P60" s="169"/>
      <c r="Q60" s="169"/>
      <c r="R60" s="169"/>
      <c r="S60" s="169"/>
      <c r="T60" s="169"/>
      <c r="U60" s="169"/>
      <c r="V60" s="169"/>
      <c r="W60" s="168"/>
      <c r="X60" s="168"/>
      <c r="Y60" s="167"/>
      <c r="Z60" s="167"/>
      <c r="AA60" s="167"/>
      <c r="AB60" s="167"/>
    </row>
    <row r="61" spans="1:28">
      <c r="A61" s="167"/>
      <c r="B61" s="167"/>
      <c r="C61" s="167"/>
      <c r="D61" s="167"/>
      <c r="E61" s="167"/>
      <c r="F61" s="167"/>
      <c r="G61" s="167"/>
      <c r="H61" s="167"/>
      <c r="I61" s="167"/>
      <c r="J61" s="167"/>
      <c r="K61" s="171"/>
      <c r="L61" s="171"/>
      <c r="M61" s="171"/>
      <c r="N61" s="171"/>
      <c r="O61" s="171"/>
      <c r="P61" s="171"/>
      <c r="Q61" s="171"/>
      <c r="R61" s="171"/>
      <c r="S61" s="171"/>
      <c r="T61" s="171"/>
      <c r="U61" s="171"/>
      <c r="V61" s="171"/>
      <c r="W61" s="167"/>
      <c r="X61" s="167"/>
      <c r="Y61" s="167"/>
      <c r="Z61" s="167"/>
      <c r="AA61" s="167"/>
      <c r="AB61" s="167"/>
    </row>
    <row r="62" spans="1:28">
      <c r="A62" s="167"/>
      <c r="B62" s="167"/>
      <c r="C62" s="167"/>
      <c r="D62" s="167"/>
      <c r="E62" s="167"/>
      <c r="F62" s="167"/>
      <c r="G62" s="167"/>
      <c r="H62" s="167"/>
      <c r="I62" s="167"/>
      <c r="J62" s="167"/>
      <c r="K62" s="171"/>
      <c r="L62" s="171"/>
      <c r="M62" s="171"/>
      <c r="N62" s="171"/>
      <c r="O62" s="171"/>
      <c r="P62" s="171"/>
      <c r="Q62" s="171"/>
      <c r="R62" s="171"/>
      <c r="S62" s="171"/>
      <c r="T62" s="171"/>
      <c r="U62" s="171"/>
      <c r="V62" s="171"/>
      <c r="W62" s="167"/>
      <c r="X62" s="167"/>
      <c r="Y62" s="167"/>
      <c r="Z62" s="167"/>
      <c r="AA62" s="167"/>
      <c r="AB62" s="167"/>
    </row>
    <row r="63" spans="1:28">
      <c r="A63" s="167"/>
      <c r="B63" s="172" t="s">
        <v>454</v>
      </c>
      <c r="C63" s="172"/>
      <c r="D63" s="172"/>
      <c r="E63" s="172"/>
      <c r="F63" s="172"/>
      <c r="G63" s="172"/>
      <c r="H63" s="172"/>
      <c r="I63" s="172"/>
      <c r="J63" s="172"/>
      <c r="K63" s="173"/>
      <c r="L63" s="174"/>
      <c r="M63" s="174"/>
      <c r="N63" s="174"/>
      <c r="O63" s="174"/>
      <c r="P63" s="174"/>
      <c r="Q63" s="174" t="s">
        <v>455</v>
      </c>
      <c r="R63" s="174"/>
      <c r="S63" s="174"/>
      <c r="T63" s="174"/>
      <c r="U63" s="174"/>
      <c r="V63" s="174"/>
      <c r="W63" s="172"/>
      <c r="X63" s="172"/>
      <c r="Y63" s="172"/>
      <c r="AB63" s="175"/>
    </row>
    <row r="64" spans="1:28">
      <c r="A64" s="167"/>
      <c r="B64" s="172" t="s">
        <v>456</v>
      </c>
      <c r="C64" s="167"/>
      <c r="D64" s="167"/>
      <c r="E64" s="167"/>
      <c r="F64" s="167"/>
      <c r="G64" s="167"/>
      <c r="H64" s="167"/>
      <c r="I64" s="167"/>
      <c r="J64" s="167"/>
      <c r="K64" s="171"/>
      <c r="L64" s="171"/>
      <c r="M64" s="171"/>
      <c r="N64" s="171"/>
      <c r="O64" s="171"/>
      <c r="P64" s="171"/>
      <c r="Q64" s="174" t="s">
        <v>456</v>
      </c>
      <c r="R64" s="171"/>
      <c r="S64" s="171"/>
      <c r="T64" s="171"/>
      <c r="U64" s="171"/>
      <c r="V64" s="171"/>
      <c r="W64" s="167"/>
      <c r="X64" s="167"/>
      <c r="Y64" s="167"/>
      <c r="Z64" s="167"/>
      <c r="AA64" s="167"/>
      <c r="AB64" s="167"/>
    </row>
  </sheetData>
  <mergeCells count="21">
    <mergeCell ref="A1:AB1"/>
    <mergeCell ref="A3:AB3"/>
    <mergeCell ref="X4:Y4"/>
    <mergeCell ref="C11:D11"/>
    <mergeCell ref="C12:D12"/>
    <mergeCell ref="L60:M60"/>
    <mergeCell ref="X17:Y17"/>
    <mergeCell ref="Z17:AA17"/>
    <mergeCell ref="AB17:AB18"/>
    <mergeCell ref="A20:B20"/>
    <mergeCell ref="H17:J17"/>
    <mergeCell ref="K17:M17"/>
    <mergeCell ref="N17:P17"/>
    <mergeCell ref="Q17:R17"/>
    <mergeCell ref="S17:U17"/>
    <mergeCell ref="V17:W17"/>
    <mergeCell ref="A17:A18"/>
    <mergeCell ref="B17:B18"/>
    <mergeCell ref="C17:C18"/>
    <mergeCell ref="D17:D18"/>
    <mergeCell ref="E17:G17"/>
  </mergeCells>
  <printOptions horizontalCentered="1" verticalCentered="1"/>
  <pageMargins left="0.2" right="0.2" top="0.34" bottom="0.33" header="0.3" footer="0.3"/>
  <pageSetup scale="5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163"/>
  <sheetViews>
    <sheetView zoomScale="90" zoomScaleNormal="90" workbookViewId="0">
      <selection activeCell="B14" sqref="B14"/>
    </sheetView>
  </sheetViews>
  <sheetFormatPr defaultRowHeight="12.75"/>
  <cols>
    <col min="1" max="1" width="16.140625" customWidth="1"/>
    <col min="2" max="2" width="55" customWidth="1"/>
    <col min="3" max="3" width="9.85546875" style="314" bestFit="1" customWidth="1"/>
    <col min="4" max="9" width="8.85546875" hidden="1" customWidth="1"/>
    <col min="12" max="12" width="9.85546875" style="324" bestFit="1" customWidth="1"/>
    <col min="13" max="13" width="6.5703125" bestFit="1" customWidth="1"/>
    <col min="14" max="18" width="8.85546875" customWidth="1"/>
    <col min="21" max="21" width="8.85546875" style="71"/>
    <col min="22" max="22" width="10.140625" bestFit="1" customWidth="1"/>
    <col min="24" max="24" width="10.140625" bestFit="1" customWidth="1"/>
    <col min="35" max="35" width="9" bestFit="1" customWidth="1"/>
  </cols>
  <sheetData>
    <row r="1" spans="1:35" s="220" customFormat="1" ht="32.450000000000003" customHeight="1">
      <c r="A1" s="612" t="s">
        <v>783</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row>
    <row r="2" spans="1:35" s="220" customFormat="1" ht="27.6" customHeight="1">
      <c r="A2" s="613" t="s">
        <v>784</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row>
    <row r="3" spans="1:35" s="220" customFormat="1" ht="28.5">
      <c r="A3" s="265"/>
      <c r="B3" s="265"/>
      <c r="C3" s="265"/>
      <c r="D3" s="265"/>
      <c r="E3" s="265"/>
      <c r="F3" s="265"/>
      <c r="G3" s="265"/>
      <c r="H3" s="265"/>
      <c r="I3" s="265"/>
      <c r="J3" s="265"/>
      <c r="K3" s="265"/>
      <c r="L3" s="318"/>
      <c r="M3" s="265"/>
      <c r="N3" s="263"/>
      <c r="O3" s="263"/>
      <c r="P3" s="265"/>
      <c r="Q3" s="265"/>
      <c r="R3" s="264"/>
      <c r="S3" s="264"/>
      <c r="T3" s="264"/>
      <c r="U3" s="264"/>
      <c r="V3" s="264"/>
      <c r="W3" s="264"/>
      <c r="X3" s="264"/>
      <c r="Y3" s="264"/>
      <c r="Z3" s="264"/>
      <c r="AA3" s="264"/>
      <c r="AB3" s="264"/>
      <c r="AC3" s="264"/>
      <c r="AD3" s="264"/>
      <c r="AE3" s="265"/>
      <c r="AF3" s="265"/>
      <c r="AG3" s="265"/>
      <c r="AH3" s="265"/>
      <c r="AI3" s="265"/>
    </row>
    <row r="4" spans="1:35" s="220" customFormat="1" ht="24">
      <c r="A4" s="266" t="s">
        <v>771</v>
      </c>
      <c r="B4" s="266"/>
      <c r="C4" s="309"/>
      <c r="D4" s="266"/>
      <c r="E4" s="266"/>
      <c r="F4" s="266"/>
      <c r="G4" s="266"/>
      <c r="H4" s="266"/>
      <c r="I4" s="266"/>
      <c r="J4" s="267"/>
      <c r="K4" s="267"/>
      <c r="L4" s="319"/>
      <c r="M4" s="263"/>
      <c r="N4" s="263"/>
      <c r="O4" s="263"/>
      <c r="P4" s="263"/>
      <c r="Q4" s="263"/>
      <c r="R4" s="263"/>
      <c r="S4" s="266" t="s">
        <v>785</v>
      </c>
      <c r="T4" s="263"/>
      <c r="U4" s="267"/>
      <c r="V4" s="268">
        <f>'एकिकृत बिवरण'!$J$13/100000-331.31</f>
        <v>600.97694000000001</v>
      </c>
      <c r="W4" s="269"/>
      <c r="X4" s="270">
        <v>331.31</v>
      </c>
      <c r="Y4" s="270"/>
      <c r="Z4" s="270"/>
      <c r="AA4" s="270"/>
      <c r="AB4" s="270"/>
      <c r="AC4" s="270"/>
      <c r="AD4" s="270"/>
      <c r="AE4" s="614">
        <f>V4+X4</f>
        <v>932.28693999999996</v>
      </c>
      <c r="AF4" s="614"/>
      <c r="AG4" s="266"/>
      <c r="AH4" s="266"/>
    </row>
    <row r="5" spans="1:35" s="220" customFormat="1" ht="24">
      <c r="A5" s="271" t="s">
        <v>772</v>
      </c>
      <c r="B5" s="266"/>
      <c r="C5" s="309"/>
      <c r="D5" s="266"/>
      <c r="E5" s="266"/>
      <c r="F5" s="266"/>
      <c r="G5" s="266"/>
      <c r="H5" s="266"/>
      <c r="I5" s="266"/>
      <c r="J5" s="267"/>
      <c r="K5" s="267"/>
      <c r="L5" s="319"/>
      <c r="M5" s="263"/>
      <c r="N5" s="263"/>
      <c r="O5" s="263"/>
      <c r="P5" s="267"/>
      <c r="Q5" s="267"/>
      <c r="R5" s="267"/>
      <c r="S5" s="273" t="s">
        <v>779</v>
      </c>
      <c r="T5" s="267"/>
      <c r="U5" s="267"/>
      <c r="V5" s="267"/>
      <c r="W5" s="267"/>
      <c r="X5" s="266"/>
      <c r="Y5" s="266"/>
      <c r="Z5" s="266"/>
      <c r="AA5" s="266"/>
      <c r="AB5" s="266"/>
      <c r="AC5" s="266"/>
      <c r="AD5" s="266"/>
      <c r="AE5" s="266"/>
      <c r="AF5" s="266"/>
      <c r="AG5" s="266"/>
      <c r="AH5" s="266"/>
    </row>
    <row r="6" spans="1:35" s="220" customFormat="1" ht="24">
      <c r="A6" s="266" t="s">
        <v>773</v>
      </c>
      <c r="B6" s="266"/>
      <c r="C6" s="309"/>
      <c r="D6" s="266"/>
      <c r="E6" s="266"/>
      <c r="F6" s="266"/>
      <c r="G6" s="266"/>
      <c r="H6" s="266"/>
      <c r="I6" s="266"/>
      <c r="J6" s="267"/>
      <c r="K6" s="267"/>
      <c r="L6" s="319"/>
      <c r="M6" s="263"/>
      <c r="N6" s="263"/>
      <c r="O6" s="263"/>
      <c r="P6" s="263"/>
      <c r="Q6" s="263"/>
      <c r="S6" s="267" t="s">
        <v>786</v>
      </c>
      <c r="T6" s="263"/>
      <c r="U6" s="263"/>
      <c r="V6" s="267"/>
      <c r="W6" s="267"/>
      <c r="X6" s="266"/>
      <c r="Y6" s="266"/>
      <c r="Z6" s="266"/>
      <c r="AA6" s="266"/>
      <c r="AB6" s="266"/>
      <c r="AC6" s="266"/>
      <c r="AD6" s="266"/>
      <c r="AE6" s="266"/>
      <c r="AF6" s="266"/>
      <c r="AG6" s="266"/>
      <c r="AH6" s="266"/>
    </row>
    <row r="7" spans="1:35" s="220" customFormat="1" ht="24">
      <c r="A7" s="266" t="s">
        <v>774</v>
      </c>
      <c r="B7" s="266"/>
      <c r="C7" s="309"/>
      <c r="D7" s="266"/>
      <c r="E7" s="266"/>
      <c r="F7" s="266"/>
      <c r="G7" s="266"/>
      <c r="H7" s="266"/>
      <c r="I7" s="266"/>
      <c r="J7" s="267"/>
      <c r="K7" s="267"/>
      <c r="L7" s="319"/>
      <c r="M7" s="263"/>
      <c r="N7" s="267"/>
      <c r="O7" s="263"/>
      <c r="P7" s="267"/>
      <c r="Q7" s="267"/>
      <c r="R7" s="267"/>
      <c r="S7" s="267"/>
      <c r="T7" s="267"/>
      <c r="U7" s="267"/>
      <c r="V7" s="267"/>
      <c r="W7" s="267"/>
      <c r="X7" s="266"/>
      <c r="Y7" s="266"/>
      <c r="Z7" s="266"/>
      <c r="AA7" s="266"/>
      <c r="AB7" s="266"/>
      <c r="AC7" s="266"/>
      <c r="AD7" s="266"/>
      <c r="AE7" s="266"/>
      <c r="AF7" s="266"/>
      <c r="AG7" s="266"/>
      <c r="AH7" s="266"/>
    </row>
    <row r="8" spans="1:35" s="220" customFormat="1" ht="24">
      <c r="A8" s="266" t="s">
        <v>775</v>
      </c>
      <c r="B8" s="266"/>
      <c r="C8" s="309"/>
      <c r="D8" s="266"/>
      <c r="E8" s="266"/>
      <c r="F8" s="266"/>
      <c r="G8" s="266"/>
      <c r="H8" s="266"/>
      <c r="I8" s="266"/>
      <c r="J8" s="267"/>
      <c r="K8" s="267"/>
      <c r="L8" s="319"/>
      <c r="M8" s="263"/>
      <c r="N8" s="263"/>
      <c r="O8" s="263"/>
      <c r="P8" s="263"/>
      <c r="Q8" s="263"/>
      <c r="R8" s="267"/>
      <c r="T8" s="267" t="s">
        <v>793</v>
      </c>
      <c r="V8" s="267"/>
      <c r="W8" s="267"/>
      <c r="X8" s="266"/>
      <c r="Y8" s="266"/>
      <c r="Z8" s="266"/>
      <c r="AA8" s="266"/>
      <c r="AB8" s="266"/>
      <c r="AC8" s="266"/>
      <c r="AD8" s="266"/>
      <c r="AE8" s="266"/>
      <c r="AF8" s="266"/>
      <c r="AG8" s="266"/>
      <c r="AH8" s="266"/>
    </row>
    <row r="9" spans="1:35" s="220" customFormat="1" ht="24">
      <c r="A9" s="266" t="s">
        <v>776</v>
      </c>
      <c r="B9" s="266"/>
      <c r="C9" s="309"/>
      <c r="D9" s="266"/>
      <c r="E9" s="266"/>
      <c r="F9" s="266"/>
      <c r="G9" s="266"/>
      <c r="H9" s="266"/>
      <c r="I9" s="266"/>
      <c r="J9" s="267"/>
      <c r="K9" s="267"/>
      <c r="L9" s="319"/>
      <c r="M9" s="263"/>
      <c r="N9" s="267"/>
      <c r="O9" s="263"/>
      <c r="P9" s="267"/>
      <c r="Q9" s="267"/>
      <c r="R9" s="267"/>
      <c r="S9" s="267"/>
      <c r="T9" s="267"/>
      <c r="U9" s="267"/>
      <c r="V9" s="267"/>
      <c r="W9" s="267"/>
      <c r="X9" s="266"/>
      <c r="Y9" s="266"/>
      <c r="Z9" s="266"/>
      <c r="AA9" s="266"/>
      <c r="AB9" s="266"/>
      <c r="AC9" s="266"/>
      <c r="AD9" s="266"/>
      <c r="AE9" s="266"/>
      <c r="AF9" s="266"/>
      <c r="AG9" s="266"/>
      <c r="AH9" s="266"/>
    </row>
    <row r="10" spans="1:35" s="220" customFormat="1" ht="24">
      <c r="A10" s="266" t="s">
        <v>777</v>
      </c>
      <c r="B10" s="266"/>
      <c r="C10" s="309"/>
      <c r="D10" s="266"/>
      <c r="E10" s="266"/>
      <c r="F10" s="266"/>
      <c r="G10" s="266"/>
      <c r="H10" s="266"/>
      <c r="I10" s="266"/>
      <c r="J10" s="267"/>
      <c r="K10" s="267"/>
      <c r="L10" s="319"/>
      <c r="M10" s="263"/>
      <c r="N10" s="263"/>
      <c r="O10" s="263"/>
      <c r="P10" s="263"/>
      <c r="Q10" s="263"/>
      <c r="R10" s="267"/>
      <c r="S10" s="267" t="s">
        <v>787</v>
      </c>
      <c r="T10" s="263"/>
      <c r="U10" s="267"/>
      <c r="V10" s="267"/>
      <c r="W10" s="267"/>
      <c r="X10" s="266"/>
      <c r="Y10" s="266"/>
      <c r="Z10" s="266"/>
      <c r="AA10" s="266"/>
      <c r="AB10" s="266"/>
      <c r="AC10" s="266"/>
      <c r="AD10" s="266"/>
      <c r="AE10" s="266"/>
      <c r="AF10" s="266"/>
      <c r="AG10" s="266"/>
      <c r="AH10" s="266"/>
    </row>
    <row r="11" spans="1:35" s="220" customFormat="1" ht="24">
      <c r="A11" s="266" t="s">
        <v>778</v>
      </c>
      <c r="B11" s="266"/>
      <c r="C11" s="310"/>
      <c r="D11" s="272"/>
      <c r="E11" s="272"/>
      <c r="F11" s="272"/>
      <c r="G11" s="272"/>
      <c r="H11" s="272"/>
      <c r="I11" s="272"/>
      <c r="J11" s="267"/>
      <c r="K11" s="267"/>
      <c r="L11" s="319"/>
      <c r="M11" s="263"/>
      <c r="N11" s="263"/>
      <c r="O11" s="263"/>
      <c r="P11" s="263"/>
      <c r="Q11" s="263"/>
      <c r="R11" s="267"/>
      <c r="S11" s="267" t="s">
        <v>788</v>
      </c>
      <c r="T11" s="263"/>
      <c r="U11" s="267"/>
      <c r="V11" s="267"/>
      <c r="W11" s="267"/>
      <c r="X11" s="266"/>
      <c r="Y11" s="266"/>
      <c r="Z11" s="266"/>
      <c r="AA11" s="266"/>
      <c r="AB11" s="266"/>
      <c r="AC11" s="266"/>
      <c r="AD11" s="266"/>
      <c r="AE11" s="266"/>
      <c r="AF11" s="266"/>
      <c r="AG11" s="266"/>
      <c r="AH11" s="266"/>
    </row>
    <row r="12" spans="1:35" s="220" customFormat="1" ht="24">
      <c r="A12" s="273" t="s">
        <v>779</v>
      </c>
      <c r="B12" s="266"/>
      <c r="C12" s="310"/>
      <c r="D12" s="272"/>
      <c r="E12" s="272"/>
      <c r="F12" s="272"/>
      <c r="G12" s="272"/>
      <c r="H12" s="272"/>
      <c r="I12" s="272"/>
      <c r="J12" s="267"/>
      <c r="K12" s="267"/>
      <c r="L12" s="319"/>
      <c r="M12" s="263"/>
      <c r="N12" s="263"/>
      <c r="O12" s="263"/>
      <c r="P12" s="267"/>
      <c r="Q12" s="267"/>
      <c r="R12" s="267"/>
      <c r="S12" s="267" t="s">
        <v>789</v>
      </c>
      <c r="T12" s="267"/>
      <c r="U12" s="267"/>
      <c r="V12" s="267"/>
      <c r="W12" s="267"/>
      <c r="X12" s="266"/>
      <c r="Y12" s="266"/>
      <c r="Z12" s="266"/>
      <c r="AA12" s="266"/>
      <c r="AB12" s="266"/>
      <c r="AC12" s="266"/>
      <c r="AD12" s="266"/>
      <c r="AE12" s="266"/>
      <c r="AF12" s="266"/>
      <c r="AG12" s="266"/>
      <c r="AI12" s="274" t="e">
        <f>V4/#REF!*100</f>
        <v>#REF!</v>
      </c>
    </row>
    <row r="13" spans="1:35" s="220" customFormat="1" ht="24">
      <c r="A13" s="266" t="s">
        <v>780</v>
      </c>
      <c r="B13" s="266"/>
      <c r="C13" s="309"/>
      <c r="D13" s="266"/>
      <c r="E13" s="266"/>
      <c r="F13" s="266"/>
      <c r="G13" s="266"/>
      <c r="H13" s="266"/>
      <c r="I13" s="266"/>
      <c r="J13" s="267"/>
      <c r="K13" s="267"/>
      <c r="L13" s="319"/>
      <c r="M13" s="263"/>
      <c r="N13" s="263"/>
      <c r="O13" s="263"/>
      <c r="P13" s="267"/>
      <c r="Q13" s="267"/>
      <c r="R13" s="267"/>
      <c r="S13" s="267" t="s">
        <v>790</v>
      </c>
      <c r="T13" s="267"/>
      <c r="U13" s="267"/>
      <c r="V13" s="267"/>
      <c r="W13" s="267"/>
      <c r="X13" s="266"/>
      <c r="Y13" s="266"/>
      <c r="Z13" s="266"/>
      <c r="AA13" s="266"/>
      <c r="AB13" s="266"/>
      <c r="AC13" s="266"/>
      <c r="AD13" s="266"/>
      <c r="AE13" s="266"/>
      <c r="AF13" s="266"/>
      <c r="AG13" s="266"/>
      <c r="AI13" s="275">
        <f>AE4/L134*100</f>
        <v>66.119641134751788</v>
      </c>
    </row>
    <row r="14" spans="1:35" s="220" customFormat="1" ht="24">
      <c r="A14" s="266" t="s">
        <v>781</v>
      </c>
      <c r="B14" s="266"/>
      <c r="C14" s="309"/>
      <c r="D14" s="266"/>
      <c r="E14" s="266"/>
      <c r="F14" s="266"/>
      <c r="G14" s="266"/>
      <c r="H14" s="266"/>
      <c r="I14" s="266"/>
      <c r="J14" s="267"/>
      <c r="K14" s="267"/>
      <c r="L14" s="319"/>
      <c r="M14" s="263"/>
      <c r="N14" s="263"/>
      <c r="O14" s="263"/>
      <c r="P14" s="267"/>
      <c r="Q14" s="267"/>
      <c r="R14" s="267"/>
      <c r="S14" s="267" t="s">
        <v>791</v>
      </c>
      <c r="T14" s="267"/>
      <c r="U14" s="267"/>
      <c r="V14" s="267"/>
      <c r="W14" s="267"/>
      <c r="X14" s="266"/>
      <c r="Y14" s="266"/>
      <c r="Z14" s="266"/>
      <c r="AA14" s="266"/>
      <c r="AB14" s="266"/>
      <c r="AC14" s="266"/>
      <c r="AD14" s="266"/>
      <c r="AE14" s="266"/>
      <c r="AF14" s="266"/>
      <c r="AG14" s="266"/>
      <c r="AH14" s="266"/>
      <c r="AI14" s="266"/>
    </row>
    <row r="15" spans="1:35" s="220" customFormat="1" ht="24">
      <c r="A15" s="266" t="s">
        <v>782</v>
      </c>
      <c r="B15" s="266"/>
      <c r="C15" s="309"/>
      <c r="D15" s="266"/>
      <c r="E15" s="266"/>
      <c r="F15" s="266"/>
      <c r="G15" s="266"/>
      <c r="H15" s="266"/>
      <c r="I15" s="266"/>
      <c r="J15" s="267"/>
      <c r="K15" s="267"/>
      <c r="L15" s="319"/>
      <c r="M15" s="263"/>
      <c r="N15" s="263"/>
      <c r="O15" s="263"/>
      <c r="P15" s="267"/>
      <c r="Q15" s="267"/>
      <c r="R15" s="267"/>
      <c r="S15" s="267" t="s">
        <v>792</v>
      </c>
      <c r="T15" s="267"/>
      <c r="U15" s="267"/>
      <c r="V15" s="267"/>
      <c r="W15" s="267"/>
      <c r="X15" s="266"/>
      <c r="Y15" s="266"/>
      <c r="Z15" s="266"/>
      <c r="AA15" s="266"/>
      <c r="AB15" s="266"/>
      <c r="AC15" s="266"/>
      <c r="AD15" s="266"/>
      <c r="AE15" s="266"/>
      <c r="AF15" s="266"/>
      <c r="AG15" s="266"/>
      <c r="AI15" s="276">
        <f>AF134</f>
        <v>2.9621578479091433</v>
      </c>
    </row>
    <row r="16" spans="1:35" s="220" customFormat="1" ht="24">
      <c r="A16" s="266"/>
      <c r="B16" s="266"/>
      <c r="C16" s="309"/>
      <c r="D16" s="266"/>
      <c r="E16" s="266"/>
      <c r="F16" s="266"/>
      <c r="G16" s="266"/>
      <c r="H16" s="266"/>
      <c r="I16" s="266"/>
      <c r="J16" s="267"/>
      <c r="K16" s="267"/>
      <c r="L16" s="319"/>
      <c r="M16" s="267"/>
      <c r="N16" s="267"/>
      <c r="O16" s="267"/>
      <c r="P16" s="267"/>
      <c r="Q16" s="267"/>
      <c r="R16" s="267"/>
      <c r="S16" s="267"/>
      <c r="T16" s="267"/>
      <c r="U16" s="267"/>
      <c r="V16" s="267"/>
      <c r="W16" s="267"/>
      <c r="X16" s="266"/>
      <c r="Y16" s="266"/>
      <c r="Z16" s="266"/>
      <c r="AA16" s="266"/>
      <c r="AB16" s="266"/>
      <c r="AC16" s="266"/>
      <c r="AD16" s="266"/>
      <c r="AE16" s="266"/>
      <c r="AF16" s="266"/>
      <c r="AG16" s="266" t="s">
        <v>196</v>
      </c>
      <c r="AH16" s="266"/>
    </row>
    <row r="17" spans="1:45" s="220" customFormat="1" ht="57.6" customHeight="1">
      <c r="A17" s="615" t="s">
        <v>752</v>
      </c>
      <c r="B17" s="615" t="s">
        <v>753</v>
      </c>
      <c r="C17" s="609" t="s">
        <v>754</v>
      </c>
      <c r="D17" s="611" t="s">
        <v>755</v>
      </c>
      <c r="E17" s="611"/>
      <c r="F17" s="611"/>
      <c r="G17" s="611" t="s">
        <v>759</v>
      </c>
      <c r="H17" s="611"/>
      <c r="I17" s="611"/>
      <c r="J17" s="622" t="s">
        <v>760</v>
      </c>
      <c r="K17" s="623"/>
      <c r="L17" s="624"/>
      <c r="M17" s="622" t="s">
        <v>762</v>
      </c>
      <c r="N17" s="623"/>
      <c r="O17" s="624"/>
      <c r="P17" s="625" t="s">
        <v>763</v>
      </c>
      <c r="Q17" s="626"/>
      <c r="R17" s="627"/>
      <c r="S17" s="622" t="s">
        <v>764</v>
      </c>
      <c r="T17" s="623"/>
      <c r="U17" s="624"/>
      <c r="V17" s="625" t="s">
        <v>765</v>
      </c>
      <c r="W17" s="626"/>
      <c r="X17" s="627"/>
      <c r="Y17" s="625" t="s">
        <v>767</v>
      </c>
      <c r="Z17" s="626"/>
      <c r="AA17" s="627"/>
      <c r="AB17" s="625" t="s">
        <v>766</v>
      </c>
      <c r="AC17" s="626"/>
      <c r="AD17" s="627"/>
      <c r="AE17" s="618" t="s">
        <v>768</v>
      </c>
      <c r="AF17" s="618"/>
      <c r="AG17" s="619" t="s">
        <v>769</v>
      </c>
      <c r="AH17" s="620"/>
      <c r="AI17" s="621" t="s">
        <v>497</v>
      </c>
    </row>
    <row r="18" spans="1:45" s="220" customFormat="1" ht="28.5" customHeight="1">
      <c r="A18" s="616"/>
      <c r="B18" s="616"/>
      <c r="C18" s="610"/>
      <c r="D18" s="277" t="s">
        <v>761</v>
      </c>
      <c r="E18" s="277" t="s">
        <v>757</v>
      </c>
      <c r="F18" s="277" t="s">
        <v>758</v>
      </c>
      <c r="G18" s="277" t="s">
        <v>761</v>
      </c>
      <c r="H18" s="277" t="s">
        <v>757</v>
      </c>
      <c r="I18" s="277" t="s">
        <v>758</v>
      </c>
      <c r="J18" s="277" t="s">
        <v>761</v>
      </c>
      <c r="K18" s="277" t="s">
        <v>757</v>
      </c>
      <c r="L18" s="320" t="s">
        <v>758</v>
      </c>
      <c r="M18" s="277" t="s">
        <v>761</v>
      </c>
      <c r="N18" s="277" t="s">
        <v>757</v>
      </c>
      <c r="O18" s="277" t="s">
        <v>758</v>
      </c>
      <c r="P18" s="277" t="s">
        <v>761</v>
      </c>
      <c r="Q18" s="277" t="s">
        <v>757</v>
      </c>
      <c r="R18" s="277" t="s">
        <v>758</v>
      </c>
      <c r="S18" s="277" t="s">
        <v>761</v>
      </c>
      <c r="T18" s="277" t="s">
        <v>757</v>
      </c>
      <c r="U18" s="277" t="s">
        <v>758</v>
      </c>
      <c r="V18" s="277" t="s">
        <v>761</v>
      </c>
      <c r="W18" s="277" t="s">
        <v>757</v>
      </c>
      <c r="X18" s="277" t="s">
        <v>758</v>
      </c>
      <c r="Y18" s="277"/>
      <c r="Z18" s="277"/>
      <c r="AA18" s="277"/>
      <c r="AB18" s="277"/>
      <c r="AC18" s="277"/>
      <c r="AD18" s="277"/>
      <c r="AE18" s="278"/>
      <c r="AF18" s="278"/>
      <c r="AG18" s="279"/>
      <c r="AH18" s="280"/>
      <c r="AI18" s="615"/>
    </row>
    <row r="19" spans="1:45" s="220" customFormat="1" ht="19.5">
      <c r="A19" s="278">
        <v>1</v>
      </c>
      <c r="B19" s="290">
        <v>2</v>
      </c>
      <c r="C19" s="295">
        <v>3</v>
      </c>
      <c r="D19" s="295">
        <v>4</v>
      </c>
      <c r="E19" s="295">
        <v>5</v>
      </c>
      <c r="F19" s="295">
        <v>6</v>
      </c>
      <c r="G19" s="295">
        <v>7</v>
      </c>
      <c r="H19" s="295">
        <v>8</v>
      </c>
      <c r="I19" s="295">
        <v>9</v>
      </c>
      <c r="J19" s="296">
        <v>10</v>
      </c>
      <c r="K19" s="296">
        <v>11</v>
      </c>
      <c r="L19" s="317">
        <v>12</v>
      </c>
      <c r="M19" s="296">
        <v>13</v>
      </c>
      <c r="N19" s="296">
        <v>14</v>
      </c>
      <c r="O19" s="296">
        <v>15</v>
      </c>
      <c r="P19" s="296">
        <v>16</v>
      </c>
      <c r="Q19" s="296"/>
      <c r="R19" s="296">
        <v>17</v>
      </c>
      <c r="S19" s="296">
        <v>13</v>
      </c>
      <c r="T19" s="296">
        <v>14</v>
      </c>
      <c r="U19" s="296">
        <v>15</v>
      </c>
      <c r="V19" s="296">
        <v>16</v>
      </c>
      <c r="W19" s="296"/>
      <c r="X19" s="295">
        <v>17</v>
      </c>
      <c r="Y19" s="295"/>
      <c r="Z19" s="295"/>
      <c r="AA19" s="295"/>
      <c r="AB19" s="295"/>
      <c r="AC19" s="295"/>
      <c r="AD19" s="295"/>
      <c r="AE19" s="295">
        <v>18</v>
      </c>
      <c r="AF19" s="295">
        <v>19</v>
      </c>
      <c r="AG19" s="295">
        <v>20</v>
      </c>
      <c r="AH19" s="295">
        <v>21</v>
      </c>
      <c r="AI19" s="295">
        <v>22</v>
      </c>
    </row>
    <row r="20" spans="1:45" s="71" customFormat="1" ht="19.5">
      <c r="A20" s="300" t="s">
        <v>511</v>
      </c>
      <c r="B20" s="301" t="s">
        <v>602</v>
      </c>
      <c r="C20" s="302" t="s">
        <v>794</v>
      </c>
      <c r="D20" s="282"/>
      <c r="E20" s="282"/>
      <c r="F20" s="282"/>
      <c r="G20" s="282"/>
      <c r="H20" s="282"/>
      <c r="I20" s="282"/>
      <c r="J20" s="282">
        <v>1</v>
      </c>
      <c r="K20" s="329">
        <f>(L20/1528.56)*100</f>
        <v>2.9439472444653796</v>
      </c>
      <c r="L20" s="326">
        <v>45</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63"/>
      <c r="AK20" s="263"/>
      <c r="AL20" s="263"/>
      <c r="AM20" s="263"/>
      <c r="AN20" s="263"/>
      <c r="AO20" s="263"/>
      <c r="AP20" s="263"/>
      <c r="AQ20" s="263"/>
      <c r="AR20" s="263"/>
      <c r="AS20" s="263"/>
    </row>
    <row r="21" spans="1:45" s="71" customFormat="1" ht="39">
      <c r="A21" s="303" t="s">
        <v>517</v>
      </c>
      <c r="B21" s="304" t="s">
        <v>603</v>
      </c>
      <c r="C21" s="289" t="s">
        <v>795</v>
      </c>
      <c r="D21" s="284"/>
      <c r="E21" s="284"/>
      <c r="F21" s="284"/>
      <c r="G21" s="284"/>
      <c r="H21" s="284"/>
      <c r="I21" s="284"/>
      <c r="J21" s="284">
        <v>20</v>
      </c>
      <c r="K21" s="329">
        <f t="shared" ref="K21:K84" si="0">(L21/1528.56)*100</f>
        <v>9.813157481551265</v>
      </c>
      <c r="L21" s="327">
        <v>150</v>
      </c>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63"/>
      <c r="AK21" s="263"/>
      <c r="AL21" s="263"/>
      <c r="AM21" s="263"/>
      <c r="AN21" s="263"/>
      <c r="AO21" s="263"/>
      <c r="AP21" s="263"/>
      <c r="AQ21" s="263"/>
      <c r="AR21" s="263"/>
      <c r="AS21" s="263"/>
    </row>
    <row r="22" spans="1:45" s="71" customFormat="1" ht="19.5">
      <c r="A22" s="303" t="s">
        <v>232</v>
      </c>
      <c r="B22" s="304" t="s">
        <v>604</v>
      </c>
      <c r="C22" s="302" t="s">
        <v>794</v>
      </c>
      <c r="D22" s="284"/>
      <c r="E22" s="284"/>
      <c r="F22" s="284"/>
      <c r="G22" s="284"/>
      <c r="H22" s="284"/>
      <c r="I22" s="284"/>
      <c r="J22" s="284">
        <v>3.4</v>
      </c>
      <c r="K22" s="329">
        <f t="shared" si="0"/>
        <v>6.542104987700843</v>
      </c>
      <c r="L22" s="327">
        <v>100</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63"/>
      <c r="AK22" s="263"/>
      <c r="AL22" s="263"/>
      <c r="AM22" s="263"/>
      <c r="AN22" s="263"/>
      <c r="AO22" s="263"/>
      <c r="AP22" s="263"/>
      <c r="AQ22" s="263"/>
      <c r="AR22" s="263"/>
      <c r="AS22" s="263"/>
    </row>
    <row r="23" spans="1:45" s="71" customFormat="1" ht="19.5">
      <c r="A23" s="303" t="s">
        <v>234</v>
      </c>
      <c r="B23" s="304" t="s">
        <v>605</v>
      </c>
      <c r="C23" s="302" t="s">
        <v>794</v>
      </c>
      <c r="D23" s="284"/>
      <c r="E23" s="284"/>
      <c r="F23" s="284"/>
      <c r="G23" s="284"/>
      <c r="H23" s="284"/>
      <c r="I23" s="284"/>
      <c r="J23" s="284">
        <v>2.96</v>
      </c>
      <c r="K23" s="329">
        <f t="shared" si="0"/>
        <v>3.9252629926205054</v>
      </c>
      <c r="L23" s="327">
        <v>60</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63"/>
      <c r="AK23" s="263"/>
      <c r="AL23" s="263"/>
      <c r="AM23" s="263"/>
      <c r="AN23" s="263"/>
      <c r="AO23" s="263"/>
      <c r="AP23" s="263"/>
      <c r="AQ23" s="263"/>
      <c r="AR23" s="263"/>
      <c r="AS23" s="263"/>
    </row>
    <row r="24" spans="1:45" s="71" customFormat="1" ht="39">
      <c r="A24" s="303" t="s">
        <v>240</v>
      </c>
      <c r="B24" s="304" t="s">
        <v>606</v>
      </c>
      <c r="C24" s="302" t="s">
        <v>794</v>
      </c>
      <c r="D24" s="284"/>
      <c r="E24" s="284"/>
      <c r="F24" s="284"/>
      <c r="G24" s="284"/>
      <c r="H24" s="284"/>
      <c r="I24" s="284"/>
      <c r="J24" s="284">
        <v>1</v>
      </c>
      <c r="K24" s="329">
        <f t="shared" si="0"/>
        <v>0.32710524938504215</v>
      </c>
      <c r="L24" s="327">
        <v>5</v>
      </c>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63"/>
      <c r="AK24" s="263"/>
      <c r="AL24" s="263"/>
      <c r="AM24" s="263"/>
      <c r="AN24" s="263"/>
      <c r="AO24" s="263"/>
      <c r="AP24" s="263"/>
      <c r="AQ24" s="263"/>
      <c r="AR24" s="263"/>
      <c r="AS24" s="263"/>
    </row>
    <row r="25" spans="1:45" s="71" customFormat="1" ht="39">
      <c r="A25" s="303" t="s">
        <v>242</v>
      </c>
      <c r="B25" s="304" t="s">
        <v>607</v>
      </c>
      <c r="C25" s="302" t="s">
        <v>794</v>
      </c>
      <c r="D25" s="284"/>
      <c r="E25" s="284"/>
      <c r="F25" s="284"/>
      <c r="G25" s="284"/>
      <c r="H25" s="284"/>
      <c r="I25" s="284"/>
      <c r="J25" s="284">
        <v>1</v>
      </c>
      <c r="K25" s="329">
        <f t="shared" si="0"/>
        <v>0.6542104987700843</v>
      </c>
      <c r="L25" s="327">
        <v>10</v>
      </c>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63"/>
      <c r="AK25" s="263"/>
      <c r="AL25" s="263"/>
      <c r="AM25" s="263"/>
      <c r="AN25" s="263"/>
      <c r="AO25" s="263"/>
      <c r="AP25" s="263"/>
      <c r="AQ25" s="263"/>
      <c r="AR25" s="263"/>
      <c r="AS25" s="263"/>
    </row>
    <row r="26" spans="1:45" s="71" customFormat="1" ht="39">
      <c r="A26" s="303" t="s">
        <v>244</v>
      </c>
      <c r="B26" s="304" t="s">
        <v>608</v>
      </c>
      <c r="C26" s="302" t="s">
        <v>794</v>
      </c>
      <c r="D26" s="284"/>
      <c r="E26" s="284"/>
      <c r="F26" s="284"/>
      <c r="G26" s="284"/>
      <c r="H26" s="284"/>
      <c r="I26" s="284"/>
      <c r="J26" s="284">
        <v>1</v>
      </c>
      <c r="K26" s="329">
        <f t="shared" si="0"/>
        <v>0.6542104987700843</v>
      </c>
      <c r="L26" s="327">
        <v>10</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63"/>
      <c r="AK26" s="263"/>
      <c r="AL26" s="263"/>
      <c r="AM26" s="263"/>
      <c r="AN26" s="263"/>
      <c r="AO26" s="263"/>
      <c r="AP26" s="263"/>
      <c r="AQ26" s="263"/>
      <c r="AR26" s="263"/>
      <c r="AS26" s="263"/>
    </row>
    <row r="27" spans="1:45" s="71" customFormat="1" ht="39">
      <c r="A27" s="303" t="s">
        <v>246</v>
      </c>
      <c r="B27" s="304" t="s">
        <v>609</v>
      </c>
      <c r="C27" s="302" t="s">
        <v>794</v>
      </c>
      <c r="D27" s="284"/>
      <c r="E27" s="284"/>
      <c r="F27" s="284"/>
      <c r="G27" s="284"/>
      <c r="H27" s="284"/>
      <c r="I27" s="284"/>
      <c r="J27" s="284">
        <v>1</v>
      </c>
      <c r="K27" s="329">
        <f t="shared" si="0"/>
        <v>0.6542104987700843</v>
      </c>
      <c r="L27" s="327">
        <v>10</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63"/>
      <c r="AK27" s="263"/>
      <c r="AL27" s="263"/>
      <c r="AM27" s="263"/>
      <c r="AN27" s="263"/>
      <c r="AO27" s="263"/>
      <c r="AP27" s="263"/>
      <c r="AQ27" s="263"/>
      <c r="AR27" s="263"/>
      <c r="AS27" s="263"/>
    </row>
    <row r="28" spans="1:45" s="71" customFormat="1" ht="39">
      <c r="A28" s="303" t="s">
        <v>248</v>
      </c>
      <c r="B28" s="304" t="s">
        <v>610</v>
      </c>
      <c r="C28" s="302" t="s">
        <v>794</v>
      </c>
      <c r="D28" s="284"/>
      <c r="E28" s="284"/>
      <c r="F28" s="284"/>
      <c r="G28" s="284"/>
      <c r="H28" s="284"/>
      <c r="I28" s="284"/>
      <c r="J28" s="284">
        <v>1</v>
      </c>
      <c r="K28" s="329">
        <f t="shared" si="0"/>
        <v>1.3084209975401686</v>
      </c>
      <c r="L28" s="327">
        <v>20</v>
      </c>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63"/>
      <c r="AK28" s="263"/>
      <c r="AL28" s="263"/>
      <c r="AM28" s="263"/>
      <c r="AN28" s="263"/>
      <c r="AO28" s="263"/>
      <c r="AP28" s="263"/>
      <c r="AQ28" s="263"/>
      <c r="AR28" s="263"/>
      <c r="AS28" s="263"/>
    </row>
    <row r="29" spans="1:45" s="306" customFormat="1" ht="23.25">
      <c r="A29" s="303" t="s">
        <v>250</v>
      </c>
      <c r="B29" s="304" t="s">
        <v>611</v>
      </c>
      <c r="C29" s="302" t="s">
        <v>794</v>
      </c>
      <c r="D29" s="284"/>
      <c r="E29" s="284"/>
      <c r="F29" s="284"/>
      <c r="G29" s="284"/>
      <c r="H29" s="284"/>
      <c r="I29" s="284"/>
      <c r="J29" s="284">
        <v>1</v>
      </c>
      <c r="K29" s="329">
        <f t="shared" si="0"/>
        <v>0</v>
      </c>
      <c r="L29" s="325">
        <v>0</v>
      </c>
      <c r="M29" s="284">
        <v>5</v>
      </c>
      <c r="N29" s="287">
        <f>K29/J29*M29</f>
        <v>0</v>
      </c>
      <c r="O29" s="284">
        <v>1.5</v>
      </c>
      <c r="P29" s="284">
        <v>7</v>
      </c>
      <c r="Q29" s="284"/>
      <c r="R29" s="287">
        <f>N29/M29*P29</f>
        <v>0</v>
      </c>
      <c r="S29" s="287">
        <v>5</v>
      </c>
      <c r="T29" s="286">
        <v>0.12</v>
      </c>
      <c r="U29" s="287">
        <v>1.5</v>
      </c>
      <c r="V29" s="287">
        <v>5</v>
      </c>
      <c r="W29" s="287"/>
      <c r="X29" s="287">
        <f>T29/S29*V29</f>
        <v>0.12</v>
      </c>
      <c r="Y29" s="287"/>
      <c r="Z29" s="287"/>
      <c r="AA29" s="287"/>
      <c r="AB29" s="287"/>
      <c r="AC29" s="287"/>
      <c r="AD29" s="287"/>
      <c r="AE29" s="287">
        <v>15</v>
      </c>
      <c r="AF29" s="287">
        <v>0.37</v>
      </c>
      <c r="AG29" s="284"/>
      <c r="AH29" s="284"/>
      <c r="AI29" s="284"/>
      <c r="AJ29" s="305"/>
      <c r="AK29" s="305"/>
      <c r="AL29" s="305"/>
      <c r="AM29" s="305"/>
      <c r="AN29" s="305"/>
      <c r="AO29" s="305"/>
      <c r="AP29" s="305"/>
      <c r="AQ29" s="305"/>
      <c r="AR29" s="305"/>
      <c r="AS29" s="305"/>
    </row>
    <row r="30" spans="1:45" s="306" customFormat="1" ht="23.25">
      <c r="A30" s="307" t="s">
        <v>216</v>
      </c>
      <c r="B30" s="308" t="s">
        <v>612</v>
      </c>
      <c r="C30" s="302" t="s">
        <v>794</v>
      </c>
      <c r="D30" s="284"/>
      <c r="E30" s="284"/>
      <c r="F30" s="284"/>
      <c r="G30" s="284"/>
      <c r="H30" s="284"/>
      <c r="I30" s="284"/>
      <c r="J30" s="284">
        <v>1</v>
      </c>
      <c r="K30" s="329">
        <f t="shared" si="0"/>
        <v>0.13084209975401687</v>
      </c>
      <c r="L30" s="328">
        <v>2</v>
      </c>
      <c r="M30" s="284">
        <v>4</v>
      </c>
      <c r="N30" s="285">
        <f>K30/J30*M30</f>
        <v>0.52336839901606746</v>
      </c>
      <c r="O30" s="284">
        <v>9</v>
      </c>
      <c r="P30" s="284">
        <v>0</v>
      </c>
      <c r="Q30" s="284"/>
      <c r="R30" s="284">
        <f>K30/J30*P30</f>
        <v>0</v>
      </c>
      <c r="S30" s="284">
        <v>0</v>
      </c>
      <c r="T30" s="286">
        <v>0</v>
      </c>
      <c r="U30" s="284">
        <v>0</v>
      </c>
      <c r="V30" s="284">
        <v>6</v>
      </c>
      <c r="W30" s="284"/>
      <c r="X30" s="287">
        <f>K30/J30*V30</f>
        <v>0.78505259852410125</v>
      </c>
      <c r="Y30" s="287"/>
      <c r="Z30" s="287"/>
      <c r="AA30" s="287"/>
      <c r="AB30" s="287"/>
      <c r="AC30" s="287"/>
      <c r="AD30" s="287"/>
      <c r="AE30" s="287">
        <f t="shared" ref="AE30:AE31" si="1">V30+P30</f>
        <v>6</v>
      </c>
      <c r="AF30" s="287">
        <v>1.48</v>
      </c>
      <c r="AG30" s="284"/>
      <c r="AH30" s="284"/>
      <c r="AI30" s="284"/>
      <c r="AJ30" s="305"/>
      <c r="AK30" s="305"/>
      <c r="AL30" s="305"/>
      <c r="AM30" s="305"/>
      <c r="AN30" s="305"/>
      <c r="AO30" s="305"/>
      <c r="AP30" s="305"/>
      <c r="AQ30" s="305"/>
      <c r="AR30" s="305"/>
      <c r="AS30" s="305"/>
    </row>
    <row r="31" spans="1:45" s="306" customFormat="1" ht="23.25">
      <c r="A31" s="307" t="s">
        <v>399</v>
      </c>
      <c r="B31" s="308" t="s">
        <v>613</v>
      </c>
      <c r="C31" s="302" t="s">
        <v>794</v>
      </c>
      <c r="D31" s="284"/>
      <c r="E31" s="284"/>
      <c r="F31" s="284"/>
      <c r="G31" s="284"/>
      <c r="H31" s="284"/>
      <c r="I31" s="284"/>
      <c r="J31" s="284">
        <v>1</v>
      </c>
      <c r="K31" s="329">
        <f t="shared" si="0"/>
        <v>0.32710524938504215</v>
      </c>
      <c r="L31" s="328">
        <v>5</v>
      </c>
      <c r="M31" s="284">
        <v>2</v>
      </c>
      <c r="N31" s="285">
        <f>K31/J31*M31</f>
        <v>0.6542104987700843</v>
      </c>
      <c r="O31" s="284">
        <v>0.4</v>
      </c>
      <c r="P31" s="284">
        <v>0</v>
      </c>
      <c r="Q31" s="284"/>
      <c r="R31" s="284">
        <v>0</v>
      </c>
      <c r="S31" s="284">
        <v>1</v>
      </c>
      <c r="T31" s="286">
        <v>0.02</v>
      </c>
      <c r="U31" s="284">
        <v>0.2</v>
      </c>
      <c r="V31" s="284">
        <v>0</v>
      </c>
      <c r="W31" s="284"/>
      <c r="X31" s="287">
        <f t="shared" ref="X31:X44" si="2">T31/S31*V31</f>
        <v>0</v>
      </c>
      <c r="Y31" s="287"/>
      <c r="Z31" s="287"/>
      <c r="AA31" s="287"/>
      <c r="AB31" s="287"/>
      <c r="AC31" s="287"/>
      <c r="AD31" s="287"/>
      <c r="AE31" s="287">
        <f t="shared" si="1"/>
        <v>0</v>
      </c>
      <c r="AF31" s="287">
        <f>K31/J31*AE31</f>
        <v>0</v>
      </c>
      <c r="AG31" s="284"/>
      <c r="AH31" s="284"/>
      <c r="AI31" s="284"/>
      <c r="AJ31" s="305"/>
      <c r="AK31" s="305"/>
      <c r="AL31" s="305"/>
      <c r="AM31" s="305"/>
      <c r="AN31" s="305"/>
      <c r="AO31" s="305"/>
      <c r="AP31" s="305"/>
      <c r="AQ31" s="305"/>
      <c r="AR31" s="305"/>
      <c r="AS31" s="305"/>
    </row>
    <row r="32" spans="1:45" s="306" customFormat="1" ht="23.25">
      <c r="A32" s="307" t="s">
        <v>401</v>
      </c>
      <c r="B32" s="308" t="s">
        <v>614</v>
      </c>
      <c r="C32" s="289" t="s">
        <v>796</v>
      </c>
      <c r="D32" s="284"/>
      <c r="E32" s="284"/>
      <c r="F32" s="284"/>
      <c r="G32" s="284"/>
      <c r="H32" s="284"/>
      <c r="I32" s="284"/>
      <c r="J32" s="284">
        <v>1</v>
      </c>
      <c r="K32" s="329">
        <f t="shared" si="0"/>
        <v>0.32710524938504215</v>
      </c>
      <c r="L32" s="325">
        <v>5</v>
      </c>
      <c r="M32" s="284"/>
      <c r="N32" s="285"/>
      <c r="O32" s="284"/>
      <c r="P32" s="284"/>
      <c r="Q32" s="284"/>
      <c r="R32" s="284"/>
      <c r="S32" s="284"/>
      <c r="T32" s="286"/>
      <c r="U32" s="284"/>
      <c r="V32" s="284"/>
      <c r="W32" s="284"/>
      <c r="X32" s="284"/>
      <c r="Y32" s="284"/>
      <c r="Z32" s="284"/>
      <c r="AA32" s="284"/>
      <c r="AB32" s="284"/>
      <c r="AC32" s="284"/>
      <c r="AD32" s="284"/>
      <c r="AE32" s="284"/>
      <c r="AF32" s="284"/>
      <c r="AG32" s="284"/>
      <c r="AH32" s="284"/>
      <c r="AI32" s="284"/>
      <c r="AJ32" s="305"/>
      <c r="AK32" s="305"/>
      <c r="AL32" s="305"/>
      <c r="AM32" s="305"/>
      <c r="AN32" s="305"/>
      <c r="AO32" s="305"/>
      <c r="AP32" s="305"/>
      <c r="AQ32" s="305"/>
      <c r="AR32" s="305"/>
      <c r="AS32" s="305"/>
    </row>
    <row r="33" spans="1:45" s="306" customFormat="1" ht="39">
      <c r="A33" s="307" t="s">
        <v>404</v>
      </c>
      <c r="B33" s="291" t="s">
        <v>615</v>
      </c>
      <c r="C33" s="315" t="s">
        <v>794</v>
      </c>
      <c r="D33" s="284"/>
      <c r="E33" s="284"/>
      <c r="F33" s="284"/>
      <c r="G33" s="284"/>
      <c r="H33" s="284"/>
      <c r="I33" s="284"/>
      <c r="J33" s="284">
        <v>1</v>
      </c>
      <c r="K33" s="329">
        <f t="shared" si="0"/>
        <v>3.2710524938504215</v>
      </c>
      <c r="L33" s="328">
        <v>50</v>
      </c>
      <c r="M33" s="284"/>
      <c r="N33" s="284"/>
      <c r="O33" s="284"/>
      <c r="P33" s="284"/>
      <c r="Q33" s="284"/>
      <c r="R33" s="284"/>
      <c r="S33" s="284">
        <v>1</v>
      </c>
      <c r="T33" s="284">
        <v>8.23</v>
      </c>
      <c r="U33" s="284">
        <v>100</v>
      </c>
      <c r="V33" s="284">
        <v>0</v>
      </c>
      <c r="W33" s="284"/>
      <c r="X33" s="284">
        <v>0</v>
      </c>
      <c r="Y33" s="284"/>
      <c r="Z33" s="284"/>
      <c r="AA33" s="284"/>
      <c r="AB33" s="284"/>
      <c r="AC33" s="284"/>
      <c r="AD33" s="284"/>
      <c r="AE33" s="284">
        <v>0</v>
      </c>
      <c r="AF33" s="284">
        <v>0</v>
      </c>
      <c r="AG33" s="284"/>
      <c r="AH33" s="284"/>
      <c r="AI33" s="284"/>
      <c r="AJ33" s="305"/>
      <c r="AK33" s="305"/>
      <c r="AL33" s="305"/>
      <c r="AM33" s="305"/>
      <c r="AN33" s="305"/>
      <c r="AO33" s="305"/>
      <c r="AP33" s="305"/>
      <c r="AQ33" s="305"/>
      <c r="AR33" s="305"/>
      <c r="AS33" s="305"/>
    </row>
    <row r="34" spans="1:45" s="306" customFormat="1" ht="23.25">
      <c r="A34" s="307" t="s">
        <v>406</v>
      </c>
      <c r="B34" s="304" t="s">
        <v>540</v>
      </c>
      <c r="C34" s="288" t="s">
        <v>797</v>
      </c>
      <c r="D34" s="284"/>
      <c r="E34" s="284"/>
      <c r="F34" s="284"/>
      <c r="G34" s="284"/>
      <c r="H34" s="284"/>
      <c r="I34" s="284"/>
      <c r="J34" s="284">
        <v>1</v>
      </c>
      <c r="K34" s="329">
        <f t="shared" si="0"/>
        <v>3.2710524938504215</v>
      </c>
      <c r="L34" s="325">
        <v>50</v>
      </c>
      <c r="M34" s="284"/>
      <c r="N34" s="284"/>
      <c r="O34" s="284"/>
      <c r="P34" s="284"/>
      <c r="Q34" s="284"/>
      <c r="R34" s="284"/>
      <c r="S34" s="284">
        <v>0</v>
      </c>
      <c r="T34" s="284">
        <v>0</v>
      </c>
      <c r="U34" s="284">
        <v>0</v>
      </c>
      <c r="V34" s="284">
        <v>0</v>
      </c>
      <c r="W34" s="284"/>
      <c r="X34" s="284">
        <v>0</v>
      </c>
      <c r="Y34" s="284"/>
      <c r="Z34" s="284"/>
      <c r="AA34" s="284"/>
      <c r="AB34" s="284"/>
      <c r="AC34" s="284"/>
      <c r="AD34" s="284"/>
      <c r="AE34" s="284">
        <v>0</v>
      </c>
      <c r="AF34" s="284">
        <v>0</v>
      </c>
      <c r="AG34" s="284"/>
      <c r="AH34" s="284"/>
      <c r="AI34" s="284"/>
      <c r="AJ34" s="305"/>
      <c r="AK34" s="305"/>
      <c r="AL34" s="305"/>
      <c r="AM34" s="305"/>
      <c r="AN34" s="305"/>
      <c r="AO34" s="305"/>
      <c r="AP34" s="305"/>
      <c r="AQ34" s="305"/>
      <c r="AR34" s="305"/>
      <c r="AS34" s="305"/>
    </row>
    <row r="35" spans="1:45" s="306" customFormat="1" ht="39">
      <c r="A35" s="307" t="s">
        <v>407</v>
      </c>
      <c r="B35" s="291" t="s">
        <v>616</v>
      </c>
      <c r="C35" s="315" t="s">
        <v>794</v>
      </c>
      <c r="D35" s="284"/>
      <c r="E35" s="284"/>
      <c r="F35" s="284"/>
      <c r="G35" s="284"/>
      <c r="H35" s="284"/>
      <c r="I35" s="284"/>
      <c r="J35" s="284">
        <v>1</v>
      </c>
      <c r="K35" s="329">
        <f t="shared" si="0"/>
        <v>0.32710524938504215</v>
      </c>
      <c r="L35" s="328">
        <v>5</v>
      </c>
      <c r="M35" s="284">
        <v>0.3</v>
      </c>
      <c r="N35" s="285">
        <v>2.2400000000000002</v>
      </c>
      <c r="O35" s="284">
        <v>25</v>
      </c>
      <c r="P35" s="284">
        <v>0.1</v>
      </c>
      <c r="Q35" s="284"/>
      <c r="R35" s="287">
        <f t="shared" ref="R35:R44" si="3">N35/M35*P35</f>
        <v>0.74666666666666681</v>
      </c>
      <c r="S35" s="287">
        <v>0.2</v>
      </c>
      <c r="T35" s="286">
        <v>1.65</v>
      </c>
      <c r="U35" s="287">
        <v>20</v>
      </c>
      <c r="V35" s="287">
        <f>S35</f>
        <v>0.2</v>
      </c>
      <c r="W35" s="287"/>
      <c r="X35" s="287">
        <v>1.65</v>
      </c>
      <c r="Y35" s="287"/>
      <c r="Z35" s="287"/>
      <c r="AA35" s="287"/>
      <c r="AB35" s="287"/>
      <c r="AC35" s="287"/>
      <c r="AD35" s="287"/>
      <c r="AE35" s="287">
        <v>1</v>
      </c>
      <c r="AF35" s="287">
        <f t="shared" ref="AF35:AF44" si="4">K35/J35*AE35</f>
        <v>0.32710524938504215</v>
      </c>
      <c r="AG35" s="284"/>
      <c r="AH35" s="284"/>
      <c r="AI35" s="283"/>
      <c r="AJ35" s="305"/>
      <c r="AK35" s="305"/>
      <c r="AL35" s="305"/>
      <c r="AM35" s="305"/>
      <c r="AN35" s="305"/>
      <c r="AO35" s="305"/>
      <c r="AP35" s="305"/>
      <c r="AQ35" s="305"/>
      <c r="AR35" s="305"/>
      <c r="AS35" s="305"/>
    </row>
    <row r="36" spans="1:45" s="306" customFormat="1" ht="23.25">
      <c r="A36" s="307" t="s">
        <v>409</v>
      </c>
      <c r="B36" s="304" t="s">
        <v>540</v>
      </c>
      <c r="C36" s="316" t="s">
        <v>797</v>
      </c>
      <c r="D36" s="284"/>
      <c r="E36" s="284"/>
      <c r="F36" s="284"/>
      <c r="G36" s="284"/>
      <c r="H36" s="284"/>
      <c r="I36" s="284"/>
      <c r="J36" s="284">
        <v>1</v>
      </c>
      <c r="K36" s="329">
        <f t="shared" si="0"/>
        <v>0.32710524938504215</v>
      </c>
      <c r="L36" s="325">
        <v>5</v>
      </c>
      <c r="M36" s="284"/>
      <c r="N36" s="285"/>
      <c r="O36" s="284"/>
      <c r="P36" s="284"/>
      <c r="Q36" s="284"/>
      <c r="R36" s="287"/>
      <c r="S36" s="287"/>
      <c r="T36" s="286"/>
      <c r="U36" s="287"/>
      <c r="V36" s="287"/>
      <c r="W36" s="287"/>
      <c r="X36" s="287"/>
      <c r="Y36" s="287"/>
      <c r="Z36" s="287"/>
      <c r="AA36" s="287"/>
      <c r="AB36" s="287"/>
      <c r="AC36" s="287"/>
      <c r="AD36" s="287"/>
      <c r="AE36" s="287"/>
      <c r="AF36" s="287"/>
      <c r="AG36" s="284"/>
      <c r="AH36" s="284"/>
      <c r="AI36" s="283"/>
      <c r="AJ36" s="305"/>
      <c r="AK36" s="305"/>
      <c r="AL36" s="305"/>
      <c r="AM36" s="305"/>
      <c r="AN36" s="305"/>
      <c r="AO36" s="305"/>
      <c r="AP36" s="305"/>
      <c r="AQ36" s="305"/>
      <c r="AR36" s="305"/>
      <c r="AS36" s="305"/>
    </row>
    <row r="37" spans="1:45" s="306" customFormat="1" ht="23.25">
      <c r="A37" s="307" t="s">
        <v>414</v>
      </c>
      <c r="B37" s="308" t="s">
        <v>617</v>
      </c>
      <c r="C37" s="315" t="s">
        <v>794</v>
      </c>
      <c r="D37" s="284"/>
      <c r="E37" s="284"/>
      <c r="F37" s="284"/>
      <c r="G37" s="284"/>
      <c r="H37" s="284"/>
      <c r="I37" s="284"/>
      <c r="J37" s="284">
        <v>1</v>
      </c>
      <c r="K37" s="329">
        <f t="shared" si="0"/>
        <v>0.39252629926205052</v>
      </c>
      <c r="L37" s="328">
        <v>6</v>
      </c>
      <c r="M37" s="284"/>
      <c r="N37" s="285"/>
      <c r="O37" s="284"/>
      <c r="P37" s="284"/>
      <c r="Q37" s="284"/>
      <c r="R37" s="287"/>
      <c r="S37" s="287"/>
      <c r="T37" s="286"/>
      <c r="U37" s="287"/>
      <c r="V37" s="287"/>
      <c r="W37" s="287"/>
      <c r="X37" s="287"/>
      <c r="Y37" s="287"/>
      <c r="Z37" s="287"/>
      <c r="AA37" s="287"/>
      <c r="AB37" s="287"/>
      <c r="AC37" s="287"/>
      <c r="AD37" s="287"/>
      <c r="AE37" s="287"/>
      <c r="AF37" s="287"/>
      <c r="AG37" s="284"/>
      <c r="AH37" s="284"/>
      <c r="AI37" s="283"/>
      <c r="AJ37" s="305"/>
      <c r="AK37" s="305"/>
      <c r="AL37" s="305"/>
      <c r="AM37" s="305"/>
      <c r="AN37" s="305"/>
      <c r="AO37" s="305"/>
      <c r="AP37" s="305"/>
      <c r="AQ37" s="305"/>
      <c r="AR37" s="305"/>
      <c r="AS37" s="305"/>
    </row>
    <row r="38" spans="1:45" s="306" customFormat="1" ht="23.25">
      <c r="A38" s="307" t="s">
        <v>416</v>
      </c>
      <c r="B38" s="304" t="s">
        <v>540</v>
      </c>
      <c r="C38" s="316" t="s">
        <v>797</v>
      </c>
      <c r="D38" s="284"/>
      <c r="E38" s="284"/>
      <c r="F38" s="284"/>
      <c r="G38" s="284"/>
      <c r="H38" s="284"/>
      <c r="I38" s="284"/>
      <c r="J38" s="284">
        <v>1</v>
      </c>
      <c r="K38" s="329">
        <f t="shared" si="0"/>
        <v>0.39252629926205052</v>
      </c>
      <c r="L38" s="325">
        <v>6</v>
      </c>
      <c r="M38" s="284"/>
      <c r="N38" s="285"/>
      <c r="O38" s="284"/>
      <c r="P38" s="284"/>
      <c r="Q38" s="284"/>
      <c r="R38" s="287"/>
      <c r="S38" s="287"/>
      <c r="T38" s="286"/>
      <c r="U38" s="287"/>
      <c r="V38" s="287"/>
      <c r="W38" s="287"/>
      <c r="X38" s="287"/>
      <c r="Y38" s="287"/>
      <c r="Z38" s="287"/>
      <c r="AA38" s="287"/>
      <c r="AB38" s="287"/>
      <c r="AC38" s="287"/>
      <c r="AD38" s="287"/>
      <c r="AE38" s="287"/>
      <c r="AF38" s="287"/>
      <c r="AG38" s="284"/>
      <c r="AH38" s="284"/>
      <c r="AI38" s="283"/>
      <c r="AJ38" s="305"/>
      <c r="AK38" s="305"/>
      <c r="AL38" s="305"/>
      <c r="AM38" s="305"/>
      <c r="AN38" s="305"/>
      <c r="AO38" s="305"/>
      <c r="AP38" s="305"/>
      <c r="AQ38" s="305"/>
      <c r="AR38" s="305"/>
      <c r="AS38" s="305"/>
    </row>
    <row r="39" spans="1:45" s="306" customFormat="1" ht="23.25">
      <c r="A39" s="307" t="s">
        <v>417</v>
      </c>
      <c r="B39" s="308" t="s">
        <v>618</v>
      </c>
      <c r="C39" s="315" t="s">
        <v>794</v>
      </c>
      <c r="D39" s="284"/>
      <c r="E39" s="284"/>
      <c r="F39" s="284"/>
      <c r="G39" s="284"/>
      <c r="H39" s="284"/>
      <c r="I39" s="284"/>
      <c r="J39" s="284">
        <v>1</v>
      </c>
      <c r="K39" s="329">
        <f t="shared" si="0"/>
        <v>0.78505259852410103</v>
      </c>
      <c r="L39" s="328">
        <v>12</v>
      </c>
      <c r="M39" s="284"/>
      <c r="N39" s="285"/>
      <c r="O39" s="284"/>
      <c r="P39" s="284"/>
      <c r="Q39" s="284"/>
      <c r="R39" s="287"/>
      <c r="S39" s="287"/>
      <c r="T39" s="286"/>
      <c r="U39" s="287"/>
      <c r="V39" s="287"/>
      <c r="W39" s="287"/>
      <c r="X39" s="287"/>
      <c r="Y39" s="287"/>
      <c r="Z39" s="287"/>
      <c r="AA39" s="287"/>
      <c r="AB39" s="287"/>
      <c r="AC39" s="287"/>
      <c r="AD39" s="287"/>
      <c r="AE39" s="287"/>
      <c r="AF39" s="287"/>
      <c r="AG39" s="284"/>
      <c r="AH39" s="284"/>
      <c r="AI39" s="283"/>
      <c r="AJ39" s="305"/>
      <c r="AK39" s="305"/>
      <c r="AL39" s="305"/>
      <c r="AM39" s="305"/>
      <c r="AN39" s="305"/>
      <c r="AO39" s="305"/>
      <c r="AP39" s="305"/>
      <c r="AQ39" s="305"/>
      <c r="AR39" s="305"/>
      <c r="AS39" s="305"/>
    </row>
    <row r="40" spans="1:45" s="306" customFormat="1" ht="23.25">
      <c r="A40" s="307" t="s">
        <v>419</v>
      </c>
      <c r="B40" s="304" t="s">
        <v>540</v>
      </c>
      <c r="C40" s="316" t="s">
        <v>797</v>
      </c>
      <c r="D40" s="284"/>
      <c r="E40" s="284"/>
      <c r="F40" s="284"/>
      <c r="G40" s="284"/>
      <c r="H40" s="284"/>
      <c r="I40" s="284"/>
      <c r="J40" s="284">
        <v>1</v>
      </c>
      <c r="K40" s="329">
        <f t="shared" si="0"/>
        <v>0.78505259852410103</v>
      </c>
      <c r="L40" s="325">
        <v>12</v>
      </c>
      <c r="M40" s="284"/>
      <c r="N40" s="285"/>
      <c r="O40" s="284"/>
      <c r="P40" s="284"/>
      <c r="Q40" s="284"/>
      <c r="R40" s="287"/>
      <c r="S40" s="287"/>
      <c r="T40" s="286"/>
      <c r="U40" s="287"/>
      <c r="V40" s="287"/>
      <c r="W40" s="287"/>
      <c r="X40" s="287"/>
      <c r="Y40" s="287"/>
      <c r="Z40" s="287"/>
      <c r="AA40" s="287"/>
      <c r="AB40" s="287"/>
      <c r="AC40" s="287"/>
      <c r="AD40" s="287"/>
      <c r="AE40" s="287"/>
      <c r="AF40" s="287"/>
      <c r="AG40" s="284"/>
      <c r="AH40" s="284"/>
      <c r="AI40" s="283"/>
      <c r="AJ40" s="305"/>
      <c r="AK40" s="305"/>
      <c r="AL40" s="305"/>
      <c r="AM40" s="305"/>
      <c r="AN40" s="305"/>
      <c r="AO40" s="305"/>
      <c r="AP40" s="305"/>
      <c r="AQ40" s="305"/>
      <c r="AR40" s="305"/>
      <c r="AS40" s="305"/>
    </row>
    <row r="41" spans="1:45" s="306" customFormat="1" ht="23.25">
      <c r="A41" s="307" t="s">
        <v>420</v>
      </c>
      <c r="B41" s="308" t="s">
        <v>619</v>
      </c>
      <c r="C41" s="288" t="s">
        <v>794</v>
      </c>
      <c r="D41" s="284"/>
      <c r="E41" s="284"/>
      <c r="F41" s="284"/>
      <c r="G41" s="284"/>
      <c r="H41" s="284"/>
      <c r="I41" s="284"/>
      <c r="J41" s="284">
        <v>1</v>
      </c>
      <c r="K41" s="329">
        <f t="shared" si="0"/>
        <v>0.39252629926205052</v>
      </c>
      <c r="L41" s="328">
        <v>6</v>
      </c>
      <c r="M41" s="284"/>
      <c r="N41" s="285"/>
      <c r="O41" s="284"/>
      <c r="P41" s="284"/>
      <c r="Q41" s="284"/>
      <c r="R41" s="287"/>
      <c r="S41" s="287"/>
      <c r="T41" s="286"/>
      <c r="U41" s="287"/>
      <c r="V41" s="287"/>
      <c r="W41" s="287"/>
      <c r="X41" s="287"/>
      <c r="Y41" s="287"/>
      <c r="Z41" s="287"/>
      <c r="AA41" s="287"/>
      <c r="AB41" s="287"/>
      <c r="AC41" s="287"/>
      <c r="AD41" s="287"/>
      <c r="AE41" s="287"/>
      <c r="AF41" s="287"/>
      <c r="AG41" s="284"/>
      <c r="AH41" s="284"/>
      <c r="AI41" s="283"/>
      <c r="AJ41" s="305"/>
      <c r="AK41" s="305"/>
      <c r="AL41" s="305"/>
      <c r="AM41" s="305"/>
      <c r="AN41" s="305"/>
      <c r="AO41" s="305"/>
      <c r="AP41" s="305"/>
      <c r="AQ41" s="305"/>
      <c r="AR41" s="305"/>
      <c r="AS41" s="305"/>
    </row>
    <row r="42" spans="1:45" s="306" customFormat="1" ht="23.25">
      <c r="A42" s="307" t="s">
        <v>422</v>
      </c>
      <c r="B42" s="304" t="s">
        <v>540</v>
      </c>
      <c r="C42" s="288" t="s">
        <v>797</v>
      </c>
      <c r="D42" s="284"/>
      <c r="E42" s="284"/>
      <c r="F42" s="284"/>
      <c r="G42" s="284"/>
      <c r="H42" s="284"/>
      <c r="I42" s="284"/>
      <c r="J42" s="284">
        <v>1</v>
      </c>
      <c r="K42" s="329">
        <f t="shared" si="0"/>
        <v>0.39252629926205052</v>
      </c>
      <c r="L42" s="325">
        <v>6</v>
      </c>
      <c r="M42" s="284"/>
      <c r="N42" s="285"/>
      <c r="O42" s="284"/>
      <c r="P42" s="284"/>
      <c r="Q42" s="284"/>
      <c r="R42" s="287"/>
      <c r="S42" s="287"/>
      <c r="T42" s="286"/>
      <c r="U42" s="287"/>
      <c r="V42" s="287"/>
      <c r="W42" s="287"/>
      <c r="X42" s="287"/>
      <c r="Y42" s="287"/>
      <c r="Z42" s="287"/>
      <c r="AA42" s="287"/>
      <c r="AB42" s="287"/>
      <c r="AC42" s="287"/>
      <c r="AD42" s="287"/>
      <c r="AE42" s="287"/>
      <c r="AF42" s="287"/>
      <c r="AG42" s="284"/>
      <c r="AH42" s="284"/>
      <c r="AI42" s="283"/>
      <c r="AJ42" s="305"/>
      <c r="AK42" s="305"/>
      <c r="AL42" s="305"/>
      <c r="AM42" s="305"/>
      <c r="AN42" s="305"/>
      <c r="AO42" s="305"/>
      <c r="AP42" s="305"/>
      <c r="AQ42" s="305"/>
      <c r="AR42" s="305"/>
      <c r="AS42" s="305"/>
    </row>
    <row r="43" spans="1:45" s="306" customFormat="1" ht="23.25">
      <c r="A43" s="307" t="s">
        <v>423</v>
      </c>
      <c r="B43" s="308" t="s">
        <v>620</v>
      </c>
      <c r="C43" s="288" t="s">
        <v>794</v>
      </c>
      <c r="D43" s="284"/>
      <c r="E43" s="284"/>
      <c r="F43" s="284"/>
      <c r="G43" s="284"/>
      <c r="H43" s="284"/>
      <c r="I43" s="284"/>
      <c r="J43" s="284">
        <v>1</v>
      </c>
      <c r="K43" s="329">
        <f t="shared" si="0"/>
        <v>0.39252629926205052</v>
      </c>
      <c r="L43" s="328">
        <v>6</v>
      </c>
      <c r="M43" s="284">
        <v>0.33</v>
      </c>
      <c r="N43" s="285">
        <v>0.9</v>
      </c>
      <c r="O43" s="284">
        <v>10</v>
      </c>
      <c r="P43" s="284">
        <v>0.1</v>
      </c>
      <c r="Q43" s="284"/>
      <c r="R43" s="287">
        <f t="shared" si="3"/>
        <v>0.27272727272727271</v>
      </c>
      <c r="S43" s="287">
        <v>0.34</v>
      </c>
      <c r="T43" s="286">
        <v>0.82</v>
      </c>
      <c r="U43" s="287">
        <v>10</v>
      </c>
      <c r="V43" s="287">
        <f t="shared" ref="V43:V44" si="5">S43</f>
        <v>0.34</v>
      </c>
      <c r="W43" s="287"/>
      <c r="X43" s="287">
        <v>0.34</v>
      </c>
      <c r="Y43" s="287"/>
      <c r="Z43" s="287"/>
      <c r="AA43" s="287"/>
      <c r="AB43" s="287"/>
      <c r="AC43" s="287"/>
      <c r="AD43" s="287"/>
      <c r="AE43" s="287">
        <v>1</v>
      </c>
      <c r="AF43" s="287">
        <f t="shared" si="4"/>
        <v>0.39252629926205052</v>
      </c>
      <c r="AG43" s="284"/>
      <c r="AH43" s="284"/>
      <c r="AI43" s="283"/>
      <c r="AJ43" s="305"/>
      <c r="AK43" s="305"/>
      <c r="AL43" s="305"/>
      <c r="AM43" s="305"/>
      <c r="AN43" s="305"/>
      <c r="AO43" s="305"/>
      <c r="AP43" s="305"/>
      <c r="AQ43" s="305"/>
      <c r="AR43" s="305"/>
      <c r="AS43" s="305"/>
    </row>
    <row r="44" spans="1:45" s="306" customFormat="1" ht="23.25">
      <c r="A44" s="307" t="s">
        <v>425</v>
      </c>
      <c r="B44" s="304" t="s">
        <v>540</v>
      </c>
      <c r="C44" s="288" t="s">
        <v>797</v>
      </c>
      <c r="D44" s="284"/>
      <c r="E44" s="284"/>
      <c r="F44" s="284"/>
      <c r="G44" s="284"/>
      <c r="H44" s="284"/>
      <c r="I44" s="284"/>
      <c r="J44" s="284">
        <v>1</v>
      </c>
      <c r="K44" s="329">
        <f t="shared" si="0"/>
        <v>0.39252629926205052</v>
      </c>
      <c r="L44" s="325">
        <v>6</v>
      </c>
      <c r="M44" s="284">
        <v>0.33</v>
      </c>
      <c r="N44" s="285">
        <v>0.3</v>
      </c>
      <c r="O44" s="284">
        <v>3.3</v>
      </c>
      <c r="P44" s="284">
        <v>0.1</v>
      </c>
      <c r="Q44" s="284"/>
      <c r="R44" s="287">
        <f t="shared" si="3"/>
        <v>9.0909090909090912E-2</v>
      </c>
      <c r="S44" s="287">
        <v>0.34</v>
      </c>
      <c r="T44" s="286">
        <v>0.28000000000000003</v>
      </c>
      <c r="U44" s="287">
        <v>3.4</v>
      </c>
      <c r="V44" s="287">
        <f t="shared" si="5"/>
        <v>0.34</v>
      </c>
      <c r="W44" s="287"/>
      <c r="X44" s="287">
        <f t="shared" si="2"/>
        <v>0.28000000000000003</v>
      </c>
      <c r="Y44" s="287"/>
      <c r="Z44" s="287"/>
      <c r="AA44" s="287"/>
      <c r="AB44" s="287"/>
      <c r="AC44" s="287"/>
      <c r="AD44" s="287"/>
      <c r="AE44" s="287">
        <v>1</v>
      </c>
      <c r="AF44" s="287">
        <f t="shared" si="4"/>
        <v>0.39252629926205052</v>
      </c>
      <c r="AG44" s="284"/>
      <c r="AH44" s="284"/>
      <c r="AI44" s="283"/>
      <c r="AJ44" s="305"/>
      <c r="AK44" s="305"/>
      <c r="AL44" s="305"/>
      <c r="AM44" s="305"/>
      <c r="AN44" s="305"/>
      <c r="AO44" s="305"/>
      <c r="AP44" s="305"/>
      <c r="AQ44" s="305"/>
      <c r="AR44" s="305"/>
      <c r="AS44" s="305"/>
    </row>
    <row r="45" spans="1:45" s="306" customFormat="1" ht="39">
      <c r="A45" s="307" t="s">
        <v>426</v>
      </c>
      <c r="B45" s="304" t="s">
        <v>621</v>
      </c>
      <c r="C45" s="288" t="s">
        <v>794</v>
      </c>
      <c r="D45" s="284"/>
      <c r="E45" s="284"/>
      <c r="F45" s="284"/>
      <c r="G45" s="284"/>
      <c r="H45" s="284"/>
      <c r="I45" s="284"/>
      <c r="J45" s="284">
        <v>1</v>
      </c>
      <c r="K45" s="329">
        <f t="shared" si="0"/>
        <v>0.78505259852410103</v>
      </c>
      <c r="L45" s="328">
        <v>12</v>
      </c>
      <c r="M45" s="284"/>
      <c r="N45" s="285"/>
      <c r="O45" s="284"/>
      <c r="P45" s="284"/>
      <c r="Q45" s="284"/>
      <c r="R45" s="287"/>
      <c r="S45" s="287"/>
      <c r="T45" s="286"/>
      <c r="U45" s="287"/>
      <c r="V45" s="287"/>
      <c r="W45" s="287"/>
      <c r="X45" s="287"/>
      <c r="Y45" s="287"/>
      <c r="Z45" s="287"/>
      <c r="AA45" s="287"/>
      <c r="AB45" s="287"/>
      <c r="AC45" s="287"/>
      <c r="AD45" s="287"/>
      <c r="AE45" s="287"/>
      <c r="AF45" s="287"/>
      <c r="AG45" s="284"/>
      <c r="AH45" s="284"/>
      <c r="AI45" s="283"/>
      <c r="AJ45" s="305"/>
      <c r="AK45" s="305"/>
      <c r="AL45" s="305"/>
      <c r="AM45" s="305"/>
      <c r="AN45" s="305"/>
      <c r="AO45" s="305"/>
      <c r="AP45" s="305"/>
      <c r="AQ45" s="305"/>
      <c r="AR45" s="305"/>
      <c r="AS45" s="305"/>
    </row>
    <row r="46" spans="1:45" s="306" customFormat="1" ht="23.25">
      <c r="A46" s="307" t="s">
        <v>428</v>
      </c>
      <c r="B46" s="304" t="s">
        <v>540</v>
      </c>
      <c r="C46" s="288" t="s">
        <v>797</v>
      </c>
      <c r="D46" s="284"/>
      <c r="E46" s="284"/>
      <c r="F46" s="284"/>
      <c r="G46" s="284"/>
      <c r="H46" s="284"/>
      <c r="I46" s="284"/>
      <c r="J46" s="284">
        <v>1</v>
      </c>
      <c r="K46" s="329">
        <f t="shared" si="0"/>
        <v>0.78505259852410103</v>
      </c>
      <c r="L46" s="325">
        <v>12</v>
      </c>
      <c r="M46" s="284"/>
      <c r="N46" s="285"/>
      <c r="O46" s="284"/>
      <c r="P46" s="284"/>
      <c r="Q46" s="284"/>
      <c r="R46" s="287"/>
      <c r="S46" s="287"/>
      <c r="T46" s="286"/>
      <c r="U46" s="287"/>
      <c r="V46" s="287"/>
      <c r="W46" s="287"/>
      <c r="X46" s="287"/>
      <c r="Y46" s="287"/>
      <c r="Z46" s="287"/>
      <c r="AA46" s="287"/>
      <c r="AB46" s="287"/>
      <c r="AC46" s="287"/>
      <c r="AD46" s="287"/>
      <c r="AE46" s="287"/>
      <c r="AF46" s="287"/>
      <c r="AG46" s="284"/>
      <c r="AH46" s="284"/>
      <c r="AI46" s="283"/>
      <c r="AJ46" s="305"/>
      <c r="AK46" s="305"/>
      <c r="AL46" s="305"/>
      <c r="AM46" s="305"/>
      <c r="AN46" s="305"/>
      <c r="AO46" s="305"/>
      <c r="AP46" s="305"/>
      <c r="AQ46" s="305"/>
      <c r="AR46" s="305"/>
      <c r="AS46" s="305"/>
    </row>
    <row r="47" spans="1:45" s="306" customFormat="1" ht="39">
      <c r="A47" s="307" t="s">
        <v>429</v>
      </c>
      <c r="B47" s="304" t="s">
        <v>622</v>
      </c>
      <c r="C47" s="288" t="s">
        <v>794</v>
      </c>
      <c r="D47" s="284"/>
      <c r="E47" s="284"/>
      <c r="F47" s="284"/>
      <c r="G47" s="284"/>
      <c r="H47" s="284"/>
      <c r="I47" s="284"/>
      <c r="J47" s="284">
        <v>1</v>
      </c>
      <c r="K47" s="329">
        <f t="shared" si="0"/>
        <v>3.9252629926205054</v>
      </c>
      <c r="L47" s="328">
        <v>60</v>
      </c>
      <c r="M47" s="284"/>
      <c r="N47" s="285"/>
      <c r="O47" s="284"/>
      <c r="P47" s="284"/>
      <c r="Q47" s="284"/>
      <c r="R47" s="287"/>
      <c r="S47" s="287"/>
      <c r="T47" s="286"/>
      <c r="U47" s="287"/>
      <c r="V47" s="287"/>
      <c r="W47" s="287"/>
      <c r="X47" s="287"/>
      <c r="Y47" s="287"/>
      <c r="Z47" s="287"/>
      <c r="AA47" s="287"/>
      <c r="AB47" s="287"/>
      <c r="AC47" s="287"/>
      <c r="AD47" s="287"/>
      <c r="AE47" s="287"/>
      <c r="AF47" s="287"/>
      <c r="AG47" s="284"/>
      <c r="AH47" s="284"/>
      <c r="AI47" s="283"/>
      <c r="AJ47" s="305"/>
      <c r="AK47" s="305"/>
      <c r="AL47" s="305"/>
      <c r="AM47" s="305"/>
      <c r="AN47" s="305"/>
      <c r="AO47" s="305"/>
      <c r="AP47" s="305"/>
      <c r="AQ47" s="305"/>
      <c r="AR47" s="305"/>
      <c r="AS47" s="305"/>
    </row>
    <row r="48" spans="1:45" s="306" customFormat="1" ht="23.25">
      <c r="A48" s="307" t="s">
        <v>431</v>
      </c>
      <c r="B48" s="304" t="s">
        <v>540</v>
      </c>
      <c r="C48" s="288" t="s">
        <v>797</v>
      </c>
      <c r="D48" s="284"/>
      <c r="E48" s="284"/>
      <c r="F48" s="284"/>
      <c r="G48" s="284"/>
      <c r="H48" s="284"/>
      <c r="I48" s="284"/>
      <c r="J48" s="284">
        <v>1</v>
      </c>
      <c r="K48" s="329">
        <f t="shared" si="0"/>
        <v>3.9252629926205054</v>
      </c>
      <c r="L48" s="325">
        <v>60</v>
      </c>
      <c r="M48" s="284"/>
      <c r="N48" s="285"/>
      <c r="O48" s="284"/>
      <c r="P48" s="284"/>
      <c r="Q48" s="284"/>
      <c r="R48" s="287"/>
      <c r="S48" s="287"/>
      <c r="T48" s="286"/>
      <c r="U48" s="287"/>
      <c r="V48" s="287"/>
      <c r="W48" s="287"/>
      <c r="X48" s="287"/>
      <c r="Y48" s="287"/>
      <c r="Z48" s="287"/>
      <c r="AA48" s="287"/>
      <c r="AB48" s="287"/>
      <c r="AC48" s="287"/>
      <c r="AD48" s="287"/>
      <c r="AE48" s="287"/>
      <c r="AF48" s="287"/>
      <c r="AG48" s="284"/>
      <c r="AH48" s="284"/>
      <c r="AI48" s="283"/>
      <c r="AJ48" s="305"/>
      <c r="AK48" s="305"/>
      <c r="AL48" s="305"/>
      <c r="AM48" s="305"/>
      <c r="AN48" s="305"/>
      <c r="AO48" s="305"/>
      <c r="AP48" s="305"/>
      <c r="AQ48" s="305"/>
      <c r="AR48" s="305"/>
      <c r="AS48" s="305"/>
    </row>
    <row r="49" spans="1:45" s="306" customFormat="1" ht="39">
      <c r="A49" s="307" t="s">
        <v>432</v>
      </c>
      <c r="B49" s="304" t="s">
        <v>623</v>
      </c>
      <c r="C49" s="288" t="s">
        <v>794</v>
      </c>
      <c r="D49" s="284"/>
      <c r="E49" s="284"/>
      <c r="F49" s="284"/>
      <c r="G49" s="284"/>
      <c r="H49" s="284"/>
      <c r="I49" s="284"/>
      <c r="J49" s="284">
        <v>1</v>
      </c>
      <c r="K49" s="329">
        <f t="shared" si="0"/>
        <v>0.26168419950803373</v>
      </c>
      <c r="L49" s="328">
        <v>4</v>
      </c>
      <c r="M49" s="284"/>
      <c r="N49" s="285"/>
      <c r="O49" s="284"/>
      <c r="P49" s="284"/>
      <c r="Q49" s="284"/>
      <c r="R49" s="287"/>
      <c r="S49" s="287"/>
      <c r="T49" s="286"/>
      <c r="U49" s="287"/>
      <c r="V49" s="287"/>
      <c r="W49" s="287"/>
      <c r="X49" s="287"/>
      <c r="Y49" s="287"/>
      <c r="Z49" s="287"/>
      <c r="AA49" s="287"/>
      <c r="AB49" s="287"/>
      <c r="AC49" s="287"/>
      <c r="AD49" s="287"/>
      <c r="AE49" s="287"/>
      <c r="AF49" s="287"/>
      <c r="AG49" s="284"/>
      <c r="AH49" s="284"/>
      <c r="AI49" s="283"/>
      <c r="AJ49" s="305"/>
      <c r="AK49" s="305"/>
      <c r="AL49" s="305"/>
      <c r="AM49" s="305"/>
      <c r="AN49" s="305"/>
      <c r="AO49" s="305"/>
      <c r="AP49" s="305"/>
      <c r="AQ49" s="305"/>
      <c r="AR49" s="305"/>
      <c r="AS49" s="305"/>
    </row>
    <row r="50" spans="1:45" s="306" customFormat="1" ht="23.25">
      <c r="A50" s="307" t="s">
        <v>434</v>
      </c>
      <c r="B50" s="304" t="s">
        <v>540</v>
      </c>
      <c r="C50" s="288" t="s">
        <v>797</v>
      </c>
      <c r="D50" s="284"/>
      <c r="E50" s="284"/>
      <c r="F50" s="284"/>
      <c r="G50" s="284"/>
      <c r="H50" s="284"/>
      <c r="I50" s="284"/>
      <c r="J50" s="284">
        <v>1</v>
      </c>
      <c r="K50" s="329">
        <f t="shared" si="0"/>
        <v>0.26168419950803373</v>
      </c>
      <c r="L50" s="325">
        <v>4</v>
      </c>
      <c r="M50" s="284"/>
      <c r="N50" s="285"/>
      <c r="O50" s="284"/>
      <c r="P50" s="284"/>
      <c r="Q50" s="284"/>
      <c r="R50" s="287"/>
      <c r="S50" s="287"/>
      <c r="T50" s="286"/>
      <c r="U50" s="287"/>
      <c r="V50" s="287"/>
      <c r="W50" s="287"/>
      <c r="X50" s="287"/>
      <c r="Y50" s="287"/>
      <c r="Z50" s="287"/>
      <c r="AA50" s="287"/>
      <c r="AB50" s="287"/>
      <c r="AC50" s="287"/>
      <c r="AD50" s="287"/>
      <c r="AE50" s="287"/>
      <c r="AF50" s="287"/>
      <c r="AG50" s="284"/>
      <c r="AH50" s="284"/>
      <c r="AI50" s="283"/>
      <c r="AJ50" s="305"/>
      <c r="AK50" s="305"/>
      <c r="AL50" s="305"/>
      <c r="AM50" s="305"/>
      <c r="AN50" s="305"/>
      <c r="AO50" s="305"/>
      <c r="AP50" s="305"/>
      <c r="AQ50" s="305"/>
      <c r="AR50" s="305"/>
      <c r="AS50" s="305"/>
    </row>
    <row r="51" spans="1:45" s="306" customFormat="1" ht="39">
      <c r="A51" s="307" t="s">
        <v>435</v>
      </c>
      <c r="B51" s="304" t="s">
        <v>624</v>
      </c>
      <c r="C51" s="288" t="s">
        <v>794</v>
      </c>
      <c r="D51" s="284"/>
      <c r="E51" s="284"/>
      <c r="F51" s="284"/>
      <c r="G51" s="284"/>
      <c r="H51" s="284"/>
      <c r="I51" s="284"/>
      <c r="J51" s="284">
        <v>1</v>
      </c>
      <c r="K51" s="329">
        <f t="shared" si="0"/>
        <v>0.26168419950803373</v>
      </c>
      <c r="L51" s="328">
        <v>4</v>
      </c>
      <c r="M51" s="284"/>
      <c r="N51" s="285"/>
      <c r="O51" s="284"/>
      <c r="P51" s="284"/>
      <c r="Q51" s="284"/>
      <c r="R51" s="287"/>
      <c r="S51" s="287"/>
      <c r="T51" s="286"/>
      <c r="U51" s="287"/>
      <c r="V51" s="287"/>
      <c r="W51" s="287"/>
      <c r="X51" s="287"/>
      <c r="Y51" s="287"/>
      <c r="Z51" s="287"/>
      <c r="AA51" s="287"/>
      <c r="AB51" s="287"/>
      <c r="AC51" s="287"/>
      <c r="AD51" s="287"/>
      <c r="AE51" s="287"/>
      <c r="AF51" s="287"/>
      <c r="AG51" s="284"/>
      <c r="AH51" s="284"/>
      <c r="AI51" s="283"/>
      <c r="AJ51" s="305"/>
      <c r="AK51" s="305"/>
      <c r="AL51" s="305"/>
      <c r="AM51" s="305"/>
      <c r="AN51" s="305"/>
      <c r="AO51" s="305"/>
      <c r="AP51" s="305"/>
      <c r="AQ51" s="305"/>
      <c r="AR51" s="305"/>
      <c r="AS51" s="305"/>
    </row>
    <row r="52" spans="1:45" s="306" customFormat="1" ht="23.25">
      <c r="A52" s="307" t="s">
        <v>437</v>
      </c>
      <c r="B52" s="304" t="s">
        <v>540</v>
      </c>
      <c r="C52" s="288" t="s">
        <v>797</v>
      </c>
      <c r="D52" s="284"/>
      <c r="E52" s="284"/>
      <c r="F52" s="284"/>
      <c r="G52" s="284"/>
      <c r="H52" s="284"/>
      <c r="I52" s="284"/>
      <c r="J52" s="284">
        <v>1</v>
      </c>
      <c r="K52" s="329">
        <f t="shared" si="0"/>
        <v>0.26168419950803373</v>
      </c>
      <c r="L52" s="325">
        <v>4</v>
      </c>
      <c r="M52" s="284"/>
      <c r="N52" s="285"/>
      <c r="O52" s="284"/>
      <c r="P52" s="284"/>
      <c r="Q52" s="284"/>
      <c r="R52" s="287"/>
      <c r="S52" s="287"/>
      <c r="T52" s="286"/>
      <c r="U52" s="287"/>
      <c r="V52" s="287"/>
      <c r="W52" s="287"/>
      <c r="X52" s="287"/>
      <c r="Y52" s="287"/>
      <c r="Z52" s="287"/>
      <c r="AA52" s="287"/>
      <c r="AB52" s="287"/>
      <c r="AC52" s="287"/>
      <c r="AD52" s="287"/>
      <c r="AE52" s="287"/>
      <c r="AF52" s="287"/>
      <c r="AG52" s="284"/>
      <c r="AH52" s="284"/>
      <c r="AI52" s="283"/>
      <c r="AJ52" s="305"/>
      <c r="AK52" s="305"/>
      <c r="AL52" s="305"/>
      <c r="AM52" s="305"/>
      <c r="AN52" s="305"/>
      <c r="AO52" s="305"/>
      <c r="AP52" s="305"/>
      <c r="AQ52" s="305"/>
      <c r="AR52" s="305"/>
      <c r="AS52" s="305"/>
    </row>
    <row r="53" spans="1:45" s="306" customFormat="1" ht="39">
      <c r="A53" s="307" t="s">
        <v>438</v>
      </c>
      <c r="B53" s="304" t="s">
        <v>625</v>
      </c>
      <c r="C53" s="288" t="s">
        <v>794</v>
      </c>
      <c r="D53" s="284"/>
      <c r="E53" s="284"/>
      <c r="F53" s="284"/>
      <c r="G53" s="284"/>
      <c r="H53" s="284"/>
      <c r="I53" s="284"/>
      <c r="J53" s="284">
        <v>1</v>
      </c>
      <c r="K53" s="329">
        <f t="shared" si="0"/>
        <v>0.26168419950803373</v>
      </c>
      <c r="L53" s="328">
        <v>4</v>
      </c>
      <c r="M53" s="284"/>
      <c r="N53" s="285"/>
      <c r="O53" s="284"/>
      <c r="P53" s="284"/>
      <c r="Q53" s="284"/>
      <c r="R53" s="287"/>
      <c r="S53" s="287"/>
      <c r="T53" s="286"/>
      <c r="U53" s="287"/>
      <c r="V53" s="287"/>
      <c r="W53" s="287"/>
      <c r="X53" s="287"/>
      <c r="Y53" s="287"/>
      <c r="Z53" s="287"/>
      <c r="AA53" s="287"/>
      <c r="AB53" s="287"/>
      <c r="AC53" s="287"/>
      <c r="AD53" s="287"/>
      <c r="AE53" s="287"/>
      <c r="AF53" s="287"/>
      <c r="AG53" s="284"/>
      <c r="AH53" s="284"/>
      <c r="AI53" s="283"/>
      <c r="AJ53" s="305"/>
      <c r="AK53" s="305"/>
      <c r="AL53" s="305"/>
      <c r="AM53" s="305"/>
      <c r="AN53" s="305"/>
      <c r="AO53" s="305"/>
      <c r="AP53" s="305"/>
      <c r="AQ53" s="305"/>
      <c r="AR53" s="305"/>
      <c r="AS53" s="305"/>
    </row>
    <row r="54" spans="1:45" s="306" customFormat="1" ht="23.25">
      <c r="A54" s="307" t="s">
        <v>440</v>
      </c>
      <c r="B54" s="304" t="s">
        <v>540</v>
      </c>
      <c r="C54" s="288" t="s">
        <v>797</v>
      </c>
      <c r="D54" s="284"/>
      <c r="E54" s="284"/>
      <c r="F54" s="284"/>
      <c r="G54" s="284"/>
      <c r="H54" s="284"/>
      <c r="I54" s="284"/>
      <c r="J54" s="284">
        <v>1</v>
      </c>
      <c r="K54" s="329">
        <f t="shared" si="0"/>
        <v>0.26168419950803373</v>
      </c>
      <c r="L54" s="325">
        <v>4</v>
      </c>
      <c r="M54" s="284"/>
      <c r="N54" s="285"/>
      <c r="O54" s="284"/>
      <c r="P54" s="284"/>
      <c r="Q54" s="284"/>
      <c r="R54" s="287"/>
      <c r="S54" s="287"/>
      <c r="T54" s="286"/>
      <c r="U54" s="287"/>
      <c r="V54" s="287"/>
      <c r="W54" s="287"/>
      <c r="X54" s="287"/>
      <c r="Y54" s="287"/>
      <c r="Z54" s="287"/>
      <c r="AA54" s="287"/>
      <c r="AB54" s="287"/>
      <c r="AC54" s="287"/>
      <c r="AD54" s="287"/>
      <c r="AE54" s="287"/>
      <c r="AF54" s="287"/>
      <c r="AG54" s="284"/>
      <c r="AH54" s="284"/>
      <c r="AI54" s="283"/>
      <c r="AJ54" s="305"/>
      <c r="AK54" s="305"/>
      <c r="AL54" s="305"/>
      <c r="AM54" s="305"/>
      <c r="AN54" s="305"/>
      <c r="AO54" s="305"/>
      <c r="AP54" s="305"/>
      <c r="AQ54" s="305"/>
      <c r="AR54" s="305"/>
      <c r="AS54" s="305"/>
    </row>
    <row r="55" spans="1:45" s="306" customFormat="1" ht="39">
      <c r="A55" s="307" t="s">
        <v>441</v>
      </c>
      <c r="B55" s="304" t="s">
        <v>626</v>
      </c>
      <c r="C55" s="288" t="s">
        <v>794</v>
      </c>
      <c r="D55" s="284"/>
      <c r="E55" s="284"/>
      <c r="F55" s="284"/>
      <c r="G55" s="284"/>
      <c r="H55" s="284"/>
      <c r="I55" s="284"/>
      <c r="J55" s="284">
        <v>1</v>
      </c>
      <c r="K55" s="329">
        <f t="shared" si="0"/>
        <v>0.26168419950803373</v>
      </c>
      <c r="L55" s="328">
        <v>4</v>
      </c>
      <c r="M55" s="284"/>
      <c r="N55" s="285"/>
      <c r="O55" s="284"/>
      <c r="P55" s="284"/>
      <c r="Q55" s="284"/>
      <c r="R55" s="287"/>
      <c r="S55" s="287"/>
      <c r="T55" s="286"/>
      <c r="U55" s="287"/>
      <c r="V55" s="287"/>
      <c r="W55" s="287"/>
      <c r="X55" s="287"/>
      <c r="Y55" s="287"/>
      <c r="Z55" s="287"/>
      <c r="AA55" s="287"/>
      <c r="AB55" s="287"/>
      <c r="AC55" s="287"/>
      <c r="AD55" s="287"/>
      <c r="AE55" s="287"/>
      <c r="AF55" s="287"/>
      <c r="AG55" s="284"/>
      <c r="AH55" s="284"/>
      <c r="AI55" s="283"/>
      <c r="AJ55" s="305"/>
      <c r="AK55" s="305"/>
      <c r="AL55" s="305"/>
      <c r="AM55" s="305"/>
      <c r="AN55" s="305"/>
      <c r="AO55" s="305"/>
      <c r="AP55" s="305"/>
      <c r="AQ55" s="305"/>
      <c r="AR55" s="305"/>
      <c r="AS55" s="305"/>
    </row>
    <row r="56" spans="1:45" s="306" customFormat="1" ht="23.25">
      <c r="A56" s="307" t="s">
        <v>443</v>
      </c>
      <c r="B56" s="304" t="s">
        <v>540</v>
      </c>
      <c r="C56" s="288" t="s">
        <v>797</v>
      </c>
      <c r="D56" s="284"/>
      <c r="E56" s="284"/>
      <c r="F56" s="284"/>
      <c r="G56" s="284"/>
      <c r="H56" s="284"/>
      <c r="I56" s="284"/>
      <c r="J56" s="284">
        <v>1</v>
      </c>
      <c r="K56" s="329">
        <f t="shared" si="0"/>
        <v>0.26168419950803373</v>
      </c>
      <c r="L56" s="325">
        <v>4</v>
      </c>
      <c r="M56" s="284"/>
      <c r="N56" s="285"/>
      <c r="O56" s="284"/>
      <c r="P56" s="284"/>
      <c r="Q56" s="284"/>
      <c r="R56" s="287"/>
      <c r="S56" s="287"/>
      <c r="T56" s="286"/>
      <c r="U56" s="287"/>
      <c r="V56" s="287"/>
      <c r="W56" s="287"/>
      <c r="X56" s="287"/>
      <c r="Y56" s="287"/>
      <c r="Z56" s="287"/>
      <c r="AA56" s="287"/>
      <c r="AB56" s="287"/>
      <c r="AC56" s="287"/>
      <c r="AD56" s="287"/>
      <c r="AE56" s="287"/>
      <c r="AF56" s="287"/>
      <c r="AG56" s="284"/>
      <c r="AH56" s="284"/>
      <c r="AI56" s="283"/>
      <c r="AJ56" s="305"/>
      <c r="AK56" s="305"/>
      <c r="AL56" s="305"/>
      <c r="AM56" s="305"/>
      <c r="AN56" s="305"/>
      <c r="AO56" s="305"/>
      <c r="AP56" s="305"/>
      <c r="AQ56" s="305"/>
      <c r="AR56" s="305"/>
      <c r="AS56" s="305"/>
    </row>
    <row r="57" spans="1:45" s="306" customFormat="1" ht="39">
      <c r="A57" s="307" t="s">
        <v>444</v>
      </c>
      <c r="B57" s="304" t="s">
        <v>627</v>
      </c>
      <c r="C57" s="288" t="s">
        <v>794</v>
      </c>
      <c r="D57" s="284"/>
      <c r="E57" s="284"/>
      <c r="F57" s="284"/>
      <c r="G57" s="284"/>
      <c r="H57" s="284"/>
      <c r="I57" s="284"/>
      <c r="J57" s="284">
        <v>82.6</v>
      </c>
      <c r="K57" s="329">
        <f t="shared" si="0"/>
        <v>1.2429999476631601</v>
      </c>
      <c r="L57" s="328">
        <v>19</v>
      </c>
      <c r="M57" s="284"/>
      <c r="N57" s="285"/>
      <c r="O57" s="284"/>
      <c r="P57" s="284"/>
      <c r="Q57" s="284"/>
      <c r="R57" s="287"/>
      <c r="S57" s="287"/>
      <c r="T57" s="286"/>
      <c r="U57" s="287"/>
      <c r="V57" s="287"/>
      <c r="W57" s="287"/>
      <c r="X57" s="287"/>
      <c r="Y57" s="287"/>
      <c r="Z57" s="287"/>
      <c r="AA57" s="287"/>
      <c r="AB57" s="287"/>
      <c r="AC57" s="287"/>
      <c r="AD57" s="287"/>
      <c r="AE57" s="287"/>
      <c r="AF57" s="287"/>
      <c r="AG57" s="284"/>
      <c r="AH57" s="284"/>
      <c r="AI57" s="283"/>
      <c r="AJ57" s="305"/>
      <c r="AK57" s="305"/>
      <c r="AL57" s="305"/>
      <c r="AM57" s="305"/>
      <c r="AN57" s="305"/>
      <c r="AO57" s="305"/>
      <c r="AP57" s="305"/>
      <c r="AQ57" s="305"/>
      <c r="AR57" s="305"/>
      <c r="AS57" s="305"/>
    </row>
    <row r="58" spans="1:45" s="306" customFormat="1" ht="23.25">
      <c r="A58" s="307" t="s">
        <v>446</v>
      </c>
      <c r="B58" s="304" t="s">
        <v>540</v>
      </c>
      <c r="C58" s="288" t="s">
        <v>797</v>
      </c>
      <c r="D58" s="284"/>
      <c r="E58" s="284"/>
      <c r="F58" s="284"/>
      <c r="G58" s="284"/>
      <c r="H58" s="284"/>
      <c r="I58" s="284"/>
      <c r="J58" s="284">
        <v>82.6</v>
      </c>
      <c r="K58" s="329">
        <f t="shared" si="0"/>
        <v>1.2429999476631601</v>
      </c>
      <c r="L58" s="325">
        <v>19</v>
      </c>
      <c r="M58" s="284"/>
      <c r="N58" s="285"/>
      <c r="O58" s="284"/>
      <c r="P58" s="284"/>
      <c r="Q58" s="284"/>
      <c r="R58" s="287"/>
      <c r="S58" s="287"/>
      <c r="T58" s="286"/>
      <c r="U58" s="287"/>
      <c r="V58" s="287"/>
      <c r="W58" s="287"/>
      <c r="X58" s="287"/>
      <c r="Y58" s="287"/>
      <c r="Z58" s="287"/>
      <c r="AA58" s="287"/>
      <c r="AB58" s="287"/>
      <c r="AC58" s="287"/>
      <c r="AD58" s="287"/>
      <c r="AE58" s="287"/>
      <c r="AF58" s="287"/>
      <c r="AG58" s="284"/>
      <c r="AH58" s="284"/>
      <c r="AI58" s="283"/>
      <c r="AJ58" s="305"/>
      <c r="AK58" s="305"/>
      <c r="AL58" s="305"/>
      <c r="AM58" s="305"/>
      <c r="AN58" s="305"/>
      <c r="AO58" s="305"/>
      <c r="AP58" s="305"/>
      <c r="AQ58" s="305"/>
      <c r="AR58" s="305"/>
      <c r="AS58" s="305"/>
    </row>
    <row r="59" spans="1:45" s="306" customFormat="1" ht="39">
      <c r="A59" s="307" t="s">
        <v>447</v>
      </c>
      <c r="B59" s="304" t="s">
        <v>628</v>
      </c>
      <c r="C59" s="288" t="s">
        <v>794</v>
      </c>
      <c r="D59" s="284"/>
      <c r="E59" s="284"/>
      <c r="F59" s="284"/>
      <c r="G59" s="284"/>
      <c r="H59" s="284"/>
      <c r="I59" s="284"/>
      <c r="J59" s="284">
        <v>1</v>
      </c>
      <c r="K59" s="329">
        <f t="shared" si="0"/>
        <v>0.39252629926205052</v>
      </c>
      <c r="L59" s="328">
        <v>6</v>
      </c>
      <c r="M59" s="284"/>
      <c r="N59" s="285"/>
      <c r="O59" s="284"/>
      <c r="P59" s="284"/>
      <c r="Q59" s="284"/>
      <c r="R59" s="287"/>
      <c r="S59" s="287"/>
      <c r="T59" s="286"/>
      <c r="U59" s="287"/>
      <c r="V59" s="287"/>
      <c r="W59" s="287"/>
      <c r="X59" s="287"/>
      <c r="Y59" s="287"/>
      <c r="Z59" s="287"/>
      <c r="AA59" s="287"/>
      <c r="AB59" s="287"/>
      <c r="AC59" s="287"/>
      <c r="AD59" s="287"/>
      <c r="AE59" s="287"/>
      <c r="AF59" s="287"/>
      <c r="AG59" s="284"/>
      <c r="AH59" s="284"/>
      <c r="AI59" s="283"/>
      <c r="AJ59" s="305"/>
      <c r="AK59" s="305"/>
      <c r="AL59" s="305"/>
      <c r="AM59" s="305"/>
      <c r="AN59" s="305"/>
      <c r="AO59" s="305"/>
      <c r="AP59" s="305"/>
      <c r="AQ59" s="305"/>
      <c r="AR59" s="305"/>
      <c r="AS59" s="305"/>
    </row>
    <row r="60" spans="1:45" s="306" customFormat="1" ht="23.25">
      <c r="A60" s="307" t="s">
        <v>449</v>
      </c>
      <c r="B60" s="304" t="s">
        <v>540</v>
      </c>
      <c r="C60" s="288" t="s">
        <v>797</v>
      </c>
      <c r="D60" s="284"/>
      <c r="E60" s="284"/>
      <c r="F60" s="284"/>
      <c r="G60" s="284"/>
      <c r="H60" s="284"/>
      <c r="I60" s="284"/>
      <c r="J60" s="284">
        <v>1</v>
      </c>
      <c r="K60" s="329">
        <f t="shared" si="0"/>
        <v>0.39252629926205052</v>
      </c>
      <c r="L60" s="325">
        <v>6</v>
      </c>
      <c r="M60" s="284"/>
      <c r="N60" s="285"/>
      <c r="O60" s="284"/>
      <c r="P60" s="284"/>
      <c r="Q60" s="284"/>
      <c r="R60" s="287"/>
      <c r="S60" s="287"/>
      <c r="T60" s="286"/>
      <c r="U60" s="287"/>
      <c r="V60" s="287"/>
      <c r="W60" s="287"/>
      <c r="X60" s="287"/>
      <c r="Y60" s="287"/>
      <c r="Z60" s="287"/>
      <c r="AA60" s="287"/>
      <c r="AB60" s="287"/>
      <c r="AC60" s="287"/>
      <c r="AD60" s="287"/>
      <c r="AE60" s="287"/>
      <c r="AF60" s="287"/>
      <c r="AG60" s="284"/>
      <c r="AH60" s="284"/>
      <c r="AI60" s="283"/>
      <c r="AJ60" s="305"/>
      <c r="AK60" s="305"/>
      <c r="AL60" s="305"/>
      <c r="AM60" s="305"/>
      <c r="AN60" s="305"/>
      <c r="AO60" s="305"/>
      <c r="AP60" s="305"/>
      <c r="AQ60" s="305"/>
      <c r="AR60" s="305"/>
      <c r="AS60" s="305"/>
    </row>
    <row r="61" spans="1:45" s="306" customFormat="1" ht="39">
      <c r="A61" s="307" t="s">
        <v>255</v>
      </c>
      <c r="B61" s="291" t="s">
        <v>629</v>
      </c>
      <c r="C61" s="288" t="s">
        <v>794</v>
      </c>
      <c r="D61" s="284"/>
      <c r="E61" s="284"/>
      <c r="F61" s="284"/>
      <c r="G61" s="284"/>
      <c r="H61" s="284"/>
      <c r="I61" s="284"/>
      <c r="J61" s="284">
        <v>26.03</v>
      </c>
      <c r="K61" s="329">
        <f t="shared" si="0"/>
        <v>4.9719997906526405</v>
      </c>
      <c r="L61" s="328">
        <v>76</v>
      </c>
      <c r="M61" s="284"/>
      <c r="N61" s="285"/>
      <c r="O61" s="284"/>
      <c r="P61" s="284"/>
      <c r="Q61" s="284"/>
      <c r="R61" s="287"/>
      <c r="S61" s="287"/>
      <c r="T61" s="286"/>
      <c r="U61" s="287"/>
      <c r="V61" s="287"/>
      <c r="W61" s="287"/>
      <c r="X61" s="287"/>
      <c r="Y61" s="287"/>
      <c r="Z61" s="287"/>
      <c r="AA61" s="287"/>
      <c r="AB61" s="287"/>
      <c r="AC61" s="287"/>
      <c r="AD61" s="287"/>
      <c r="AE61" s="287"/>
      <c r="AF61" s="287"/>
      <c r="AG61" s="284"/>
      <c r="AH61" s="284"/>
      <c r="AI61" s="283"/>
      <c r="AJ61" s="305"/>
      <c r="AK61" s="305"/>
      <c r="AL61" s="305"/>
      <c r="AM61" s="305"/>
      <c r="AN61" s="305"/>
      <c r="AO61" s="305"/>
      <c r="AP61" s="305"/>
      <c r="AQ61" s="305"/>
      <c r="AR61" s="305"/>
      <c r="AS61" s="305"/>
    </row>
    <row r="62" spans="1:45" s="306" customFormat="1" ht="23.25">
      <c r="A62" s="307" t="s">
        <v>257</v>
      </c>
      <c r="B62" s="304" t="s">
        <v>561</v>
      </c>
      <c r="C62" s="288" t="s">
        <v>797</v>
      </c>
      <c r="D62" s="284"/>
      <c r="E62" s="284"/>
      <c r="F62" s="284"/>
      <c r="G62" s="284"/>
      <c r="H62" s="284"/>
      <c r="I62" s="284"/>
      <c r="J62" s="284">
        <v>26.03</v>
      </c>
      <c r="K62" s="329">
        <f t="shared" si="0"/>
        <v>4.9719997906526405</v>
      </c>
      <c r="L62" s="325">
        <v>76</v>
      </c>
      <c r="M62" s="284"/>
      <c r="N62" s="285"/>
      <c r="O62" s="284"/>
      <c r="P62" s="284"/>
      <c r="Q62" s="284"/>
      <c r="R62" s="287"/>
      <c r="S62" s="287"/>
      <c r="T62" s="286"/>
      <c r="U62" s="287"/>
      <c r="V62" s="287"/>
      <c r="W62" s="287"/>
      <c r="X62" s="287"/>
      <c r="Y62" s="287"/>
      <c r="Z62" s="287"/>
      <c r="AA62" s="287"/>
      <c r="AB62" s="287"/>
      <c r="AC62" s="287"/>
      <c r="AD62" s="287"/>
      <c r="AE62" s="287"/>
      <c r="AF62" s="287"/>
      <c r="AG62" s="284"/>
      <c r="AH62" s="284"/>
      <c r="AI62" s="283"/>
      <c r="AJ62" s="305"/>
      <c r="AK62" s="305"/>
      <c r="AL62" s="305"/>
      <c r="AM62" s="305"/>
      <c r="AN62" s="305"/>
      <c r="AO62" s="305"/>
      <c r="AP62" s="305"/>
      <c r="AQ62" s="305"/>
      <c r="AR62" s="305"/>
      <c r="AS62" s="305"/>
    </row>
    <row r="63" spans="1:45" s="306" customFormat="1" ht="23.25">
      <c r="A63" s="307" t="s">
        <v>260</v>
      </c>
      <c r="B63" s="292" t="s">
        <v>673</v>
      </c>
      <c r="C63" s="288" t="s">
        <v>794</v>
      </c>
      <c r="D63" s="284"/>
      <c r="E63" s="284"/>
      <c r="F63" s="284"/>
      <c r="G63" s="284"/>
      <c r="H63" s="284"/>
      <c r="I63" s="284"/>
      <c r="J63" s="284">
        <v>1.5</v>
      </c>
      <c r="K63" s="329">
        <f t="shared" si="0"/>
        <v>1.7663683466792275</v>
      </c>
      <c r="L63" s="328">
        <v>27</v>
      </c>
      <c r="M63" s="284"/>
      <c r="N63" s="285"/>
      <c r="O63" s="284"/>
      <c r="P63" s="284"/>
      <c r="Q63" s="284"/>
      <c r="R63" s="287"/>
      <c r="S63" s="287"/>
      <c r="T63" s="286"/>
      <c r="U63" s="287"/>
      <c r="V63" s="287"/>
      <c r="W63" s="287"/>
      <c r="X63" s="287"/>
      <c r="Y63" s="287"/>
      <c r="Z63" s="287"/>
      <c r="AA63" s="287"/>
      <c r="AB63" s="287"/>
      <c r="AC63" s="287"/>
      <c r="AD63" s="287"/>
      <c r="AE63" s="287"/>
      <c r="AF63" s="287"/>
      <c r="AG63" s="284"/>
      <c r="AH63" s="284"/>
      <c r="AI63" s="283"/>
      <c r="AJ63" s="305"/>
      <c r="AK63" s="305"/>
      <c r="AL63" s="305"/>
      <c r="AM63" s="305"/>
      <c r="AN63" s="305"/>
      <c r="AO63" s="305"/>
      <c r="AP63" s="305"/>
      <c r="AQ63" s="305"/>
      <c r="AR63" s="305"/>
      <c r="AS63" s="305"/>
    </row>
    <row r="64" spans="1:45" s="306" customFormat="1" ht="23.25">
      <c r="A64" s="307" t="s">
        <v>262</v>
      </c>
      <c r="B64" s="304" t="s">
        <v>561</v>
      </c>
      <c r="C64" s="288" t="s">
        <v>797</v>
      </c>
      <c r="D64" s="284"/>
      <c r="E64" s="284"/>
      <c r="F64" s="284"/>
      <c r="G64" s="284"/>
      <c r="H64" s="284"/>
      <c r="I64" s="284"/>
      <c r="J64" s="284">
        <v>1.5</v>
      </c>
      <c r="K64" s="329">
        <f t="shared" si="0"/>
        <v>1.7663683466792275</v>
      </c>
      <c r="L64" s="325">
        <v>27</v>
      </c>
      <c r="M64" s="284"/>
      <c r="N64" s="285"/>
      <c r="O64" s="284"/>
      <c r="P64" s="284"/>
      <c r="Q64" s="284"/>
      <c r="R64" s="287"/>
      <c r="S64" s="287"/>
      <c r="T64" s="286"/>
      <c r="U64" s="287"/>
      <c r="V64" s="287"/>
      <c r="W64" s="287"/>
      <c r="X64" s="287"/>
      <c r="Y64" s="287"/>
      <c r="Z64" s="287"/>
      <c r="AA64" s="287"/>
      <c r="AB64" s="287"/>
      <c r="AC64" s="287"/>
      <c r="AD64" s="287"/>
      <c r="AE64" s="287"/>
      <c r="AF64" s="287"/>
      <c r="AG64" s="284"/>
      <c r="AH64" s="284"/>
      <c r="AI64" s="283"/>
      <c r="AJ64" s="305"/>
      <c r="AK64" s="305"/>
      <c r="AL64" s="305"/>
      <c r="AM64" s="305"/>
      <c r="AN64" s="305"/>
      <c r="AO64" s="305"/>
      <c r="AP64" s="305"/>
      <c r="AQ64" s="305"/>
      <c r="AR64" s="305"/>
      <c r="AS64" s="305"/>
    </row>
    <row r="65" spans="1:45" s="306" customFormat="1" ht="40.5">
      <c r="A65" s="307" t="s">
        <v>263</v>
      </c>
      <c r="B65" s="292" t="s">
        <v>674</v>
      </c>
      <c r="C65" s="288" t="s">
        <v>797</v>
      </c>
      <c r="D65" s="284"/>
      <c r="E65" s="284"/>
      <c r="F65" s="284"/>
      <c r="G65" s="284"/>
      <c r="H65" s="284"/>
      <c r="I65" s="284"/>
      <c r="J65" s="284">
        <v>5</v>
      </c>
      <c r="K65" s="329">
        <f t="shared" si="0"/>
        <v>6.5421049877008433E-2</v>
      </c>
      <c r="L65" s="328">
        <v>1</v>
      </c>
      <c r="M65" s="284"/>
      <c r="N65" s="285"/>
      <c r="O65" s="284"/>
      <c r="P65" s="284"/>
      <c r="Q65" s="284"/>
      <c r="R65" s="287"/>
      <c r="S65" s="287"/>
      <c r="T65" s="286"/>
      <c r="U65" s="287"/>
      <c r="V65" s="287"/>
      <c r="W65" s="287"/>
      <c r="X65" s="287"/>
      <c r="Y65" s="287"/>
      <c r="Z65" s="287"/>
      <c r="AA65" s="287"/>
      <c r="AB65" s="287"/>
      <c r="AC65" s="287"/>
      <c r="AD65" s="287"/>
      <c r="AE65" s="287"/>
      <c r="AF65" s="287"/>
      <c r="AG65" s="284"/>
      <c r="AH65" s="284"/>
      <c r="AI65" s="283"/>
      <c r="AJ65" s="305"/>
      <c r="AK65" s="305"/>
      <c r="AL65" s="305"/>
      <c r="AM65" s="305"/>
      <c r="AN65" s="305"/>
      <c r="AO65" s="305"/>
      <c r="AP65" s="305"/>
      <c r="AQ65" s="305"/>
      <c r="AR65" s="305"/>
      <c r="AS65" s="305"/>
    </row>
    <row r="66" spans="1:45" s="306" customFormat="1" ht="40.5">
      <c r="A66" s="307" t="s">
        <v>566</v>
      </c>
      <c r="B66" s="292" t="s">
        <v>675</v>
      </c>
      <c r="C66" s="288" t="s">
        <v>797</v>
      </c>
      <c r="D66" s="284"/>
      <c r="E66" s="284"/>
      <c r="F66" s="284"/>
      <c r="G66" s="284"/>
      <c r="H66" s="284"/>
      <c r="I66" s="284"/>
      <c r="J66" s="284">
        <v>0.5</v>
      </c>
      <c r="K66" s="329">
        <f t="shared" si="0"/>
        <v>6.5421049877008433E-2</v>
      </c>
      <c r="L66" s="328">
        <v>1</v>
      </c>
      <c r="M66" s="284"/>
      <c r="N66" s="285"/>
      <c r="O66" s="284"/>
      <c r="P66" s="284"/>
      <c r="Q66" s="284"/>
      <c r="R66" s="287"/>
      <c r="S66" s="287"/>
      <c r="T66" s="286"/>
      <c r="U66" s="287"/>
      <c r="V66" s="287"/>
      <c r="W66" s="287"/>
      <c r="X66" s="287"/>
      <c r="Y66" s="287"/>
      <c r="Z66" s="287"/>
      <c r="AA66" s="287"/>
      <c r="AB66" s="287"/>
      <c r="AC66" s="287"/>
      <c r="AD66" s="287"/>
      <c r="AE66" s="287"/>
      <c r="AF66" s="287"/>
      <c r="AG66" s="284"/>
      <c r="AH66" s="284"/>
      <c r="AI66" s="283"/>
      <c r="AJ66" s="305"/>
      <c r="AK66" s="305"/>
      <c r="AL66" s="305"/>
      <c r="AM66" s="305"/>
      <c r="AN66" s="305"/>
      <c r="AO66" s="305"/>
      <c r="AP66" s="305"/>
      <c r="AQ66" s="305"/>
      <c r="AR66" s="305"/>
      <c r="AS66" s="305"/>
    </row>
    <row r="67" spans="1:45" s="306" customFormat="1" ht="40.5">
      <c r="A67" s="307" t="s">
        <v>271</v>
      </c>
      <c r="B67" s="292" t="s">
        <v>676</v>
      </c>
      <c r="C67" s="288" t="s">
        <v>797</v>
      </c>
      <c r="D67" s="284"/>
      <c r="E67" s="284"/>
      <c r="F67" s="284"/>
      <c r="G67" s="284"/>
      <c r="H67" s="284"/>
      <c r="I67" s="284"/>
      <c r="J67" s="284">
        <v>5</v>
      </c>
      <c r="K67" s="329">
        <f t="shared" si="0"/>
        <v>4.9065787407756325</v>
      </c>
      <c r="L67" s="328">
        <v>75</v>
      </c>
      <c r="M67" s="284"/>
      <c r="N67" s="285"/>
      <c r="O67" s="284"/>
      <c r="P67" s="284"/>
      <c r="Q67" s="284"/>
      <c r="R67" s="287"/>
      <c r="S67" s="287"/>
      <c r="T67" s="286"/>
      <c r="U67" s="287"/>
      <c r="V67" s="287"/>
      <c r="W67" s="287"/>
      <c r="X67" s="287"/>
      <c r="Y67" s="287"/>
      <c r="Z67" s="287"/>
      <c r="AA67" s="287"/>
      <c r="AB67" s="287"/>
      <c r="AC67" s="287"/>
      <c r="AD67" s="287"/>
      <c r="AE67" s="287"/>
      <c r="AF67" s="287"/>
      <c r="AG67" s="284"/>
      <c r="AH67" s="284"/>
      <c r="AI67" s="283"/>
      <c r="AJ67" s="305"/>
      <c r="AK67" s="305"/>
      <c r="AL67" s="305"/>
      <c r="AM67" s="305"/>
      <c r="AN67" s="305"/>
      <c r="AO67" s="305"/>
      <c r="AP67" s="305"/>
      <c r="AQ67" s="305"/>
      <c r="AR67" s="305"/>
      <c r="AS67" s="305"/>
    </row>
    <row r="68" spans="1:45" s="306" customFormat="1" ht="39">
      <c r="A68" s="307" t="s">
        <v>273</v>
      </c>
      <c r="B68" s="293" t="s">
        <v>677</v>
      </c>
      <c r="C68" s="288" t="s">
        <v>797</v>
      </c>
      <c r="D68" s="284"/>
      <c r="E68" s="284"/>
      <c r="F68" s="284"/>
      <c r="G68" s="284"/>
      <c r="H68" s="284"/>
      <c r="I68" s="284"/>
      <c r="J68" s="284">
        <v>1.5</v>
      </c>
      <c r="K68" s="329">
        <f t="shared" si="0"/>
        <v>0.78505259852410103</v>
      </c>
      <c r="L68" s="328">
        <v>12</v>
      </c>
      <c r="M68" s="284"/>
      <c r="N68" s="285"/>
      <c r="O68" s="284"/>
      <c r="P68" s="284"/>
      <c r="Q68" s="284"/>
      <c r="R68" s="287"/>
      <c r="S68" s="287"/>
      <c r="T68" s="286"/>
      <c r="U68" s="287"/>
      <c r="V68" s="287"/>
      <c r="W68" s="287"/>
      <c r="X68" s="287"/>
      <c r="Y68" s="287"/>
      <c r="Z68" s="287"/>
      <c r="AA68" s="287"/>
      <c r="AB68" s="287"/>
      <c r="AC68" s="287"/>
      <c r="AD68" s="287"/>
      <c r="AE68" s="287"/>
      <c r="AF68" s="287"/>
      <c r="AG68" s="284"/>
      <c r="AH68" s="284"/>
      <c r="AI68" s="283"/>
      <c r="AJ68" s="305"/>
      <c r="AK68" s="305"/>
      <c r="AL68" s="305"/>
      <c r="AM68" s="305"/>
      <c r="AN68" s="305"/>
      <c r="AO68" s="305"/>
      <c r="AP68" s="305"/>
      <c r="AQ68" s="305"/>
      <c r="AR68" s="305"/>
      <c r="AS68" s="305"/>
    </row>
    <row r="69" spans="1:45" s="306" customFormat="1" ht="40.5">
      <c r="A69" s="307" t="s">
        <v>678</v>
      </c>
      <c r="B69" s="292" t="s">
        <v>679</v>
      </c>
      <c r="C69" s="288" t="s">
        <v>797</v>
      </c>
      <c r="D69" s="284"/>
      <c r="E69" s="284"/>
      <c r="F69" s="284"/>
      <c r="G69" s="284"/>
      <c r="H69" s="284"/>
      <c r="I69" s="284"/>
      <c r="J69" s="284">
        <v>1</v>
      </c>
      <c r="K69" s="329">
        <f t="shared" si="0"/>
        <v>6.5421049877008433E-2</v>
      </c>
      <c r="L69" s="328">
        <v>1</v>
      </c>
      <c r="M69" s="284"/>
      <c r="N69" s="285"/>
      <c r="O69" s="284"/>
      <c r="P69" s="284"/>
      <c r="Q69" s="284"/>
      <c r="R69" s="287"/>
      <c r="S69" s="287"/>
      <c r="T69" s="286"/>
      <c r="U69" s="287"/>
      <c r="V69" s="287"/>
      <c r="W69" s="287"/>
      <c r="X69" s="287"/>
      <c r="Y69" s="287"/>
      <c r="Z69" s="287"/>
      <c r="AA69" s="287"/>
      <c r="AB69" s="287"/>
      <c r="AC69" s="287"/>
      <c r="AD69" s="287"/>
      <c r="AE69" s="287"/>
      <c r="AF69" s="287"/>
      <c r="AG69" s="284"/>
      <c r="AH69" s="284"/>
      <c r="AI69" s="283"/>
      <c r="AJ69" s="305"/>
      <c r="AK69" s="305"/>
      <c r="AL69" s="305"/>
      <c r="AM69" s="305"/>
      <c r="AN69" s="305"/>
      <c r="AO69" s="305"/>
      <c r="AP69" s="305"/>
      <c r="AQ69" s="305"/>
      <c r="AR69" s="305"/>
      <c r="AS69" s="305"/>
    </row>
    <row r="70" spans="1:45" s="306" customFormat="1" ht="40.5">
      <c r="A70" s="307" t="s">
        <v>277</v>
      </c>
      <c r="B70" s="292" t="s">
        <v>680</v>
      </c>
      <c r="C70" s="288" t="s">
        <v>797</v>
      </c>
      <c r="D70" s="284"/>
      <c r="E70" s="284"/>
      <c r="F70" s="284"/>
      <c r="G70" s="284"/>
      <c r="H70" s="284"/>
      <c r="I70" s="284"/>
      <c r="J70" s="284">
        <v>5</v>
      </c>
      <c r="K70" s="329">
        <f t="shared" si="0"/>
        <v>6.5421049877008433E-2</v>
      </c>
      <c r="L70" s="328">
        <v>1</v>
      </c>
      <c r="M70" s="284"/>
      <c r="N70" s="285"/>
      <c r="O70" s="284"/>
      <c r="P70" s="284"/>
      <c r="Q70" s="284"/>
      <c r="R70" s="287"/>
      <c r="S70" s="287"/>
      <c r="T70" s="286"/>
      <c r="U70" s="287"/>
      <c r="V70" s="287"/>
      <c r="W70" s="287"/>
      <c r="X70" s="287"/>
      <c r="Y70" s="287"/>
      <c r="Z70" s="287"/>
      <c r="AA70" s="287"/>
      <c r="AB70" s="287"/>
      <c r="AC70" s="287"/>
      <c r="AD70" s="287"/>
      <c r="AE70" s="287"/>
      <c r="AF70" s="287"/>
      <c r="AG70" s="284"/>
      <c r="AH70" s="284"/>
      <c r="AI70" s="283"/>
      <c r="AJ70" s="305"/>
      <c r="AK70" s="305"/>
      <c r="AL70" s="305"/>
      <c r="AM70" s="305"/>
      <c r="AN70" s="305"/>
      <c r="AO70" s="305"/>
      <c r="AP70" s="305"/>
      <c r="AQ70" s="305"/>
      <c r="AR70" s="305"/>
      <c r="AS70" s="305"/>
    </row>
    <row r="71" spans="1:45" s="306" customFormat="1" ht="40.5">
      <c r="A71" s="307" t="s">
        <v>279</v>
      </c>
      <c r="B71" s="292" t="s">
        <v>681</v>
      </c>
      <c r="C71" s="288" t="s">
        <v>797</v>
      </c>
      <c r="D71" s="284"/>
      <c r="E71" s="284"/>
      <c r="F71" s="284"/>
      <c r="G71" s="284"/>
      <c r="H71" s="284"/>
      <c r="I71" s="284"/>
      <c r="J71" s="284">
        <v>24.75</v>
      </c>
      <c r="K71" s="329">
        <f t="shared" si="0"/>
        <v>3.2710524938504215</v>
      </c>
      <c r="L71" s="328">
        <v>50</v>
      </c>
      <c r="M71" s="284"/>
      <c r="N71" s="285"/>
      <c r="O71" s="284"/>
      <c r="P71" s="284"/>
      <c r="Q71" s="284"/>
      <c r="R71" s="287"/>
      <c r="S71" s="287"/>
      <c r="T71" s="286"/>
      <c r="U71" s="287"/>
      <c r="V71" s="287"/>
      <c r="W71" s="287"/>
      <c r="X71" s="287"/>
      <c r="Y71" s="287"/>
      <c r="Z71" s="287"/>
      <c r="AA71" s="287"/>
      <c r="AB71" s="287"/>
      <c r="AC71" s="287"/>
      <c r="AD71" s="287"/>
      <c r="AE71" s="287"/>
      <c r="AF71" s="287"/>
      <c r="AG71" s="284"/>
      <c r="AH71" s="284"/>
      <c r="AI71" s="283"/>
      <c r="AJ71" s="305"/>
      <c r="AK71" s="305"/>
      <c r="AL71" s="305"/>
      <c r="AM71" s="305"/>
      <c r="AN71" s="305"/>
      <c r="AO71" s="305"/>
      <c r="AP71" s="305"/>
      <c r="AQ71" s="305"/>
      <c r="AR71" s="305"/>
      <c r="AS71" s="305"/>
    </row>
    <row r="72" spans="1:45" s="306" customFormat="1" ht="39">
      <c r="A72" s="307" t="s">
        <v>281</v>
      </c>
      <c r="B72" s="293" t="s">
        <v>682</v>
      </c>
      <c r="C72" s="288" t="s">
        <v>797</v>
      </c>
      <c r="D72" s="284"/>
      <c r="E72" s="284"/>
      <c r="F72" s="284"/>
      <c r="G72" s="284"/>
      <c r="H72" s="284"/>
      <c r="I72" s="284"/>
      <c r="J72" s="284">
        <v>3</v>
      </c>
      <c r="K72" s="329">
        <f t="shared" si="0"/>
        <v>0.78505259852410103</v>
      </c>
      <c r="L72" s="328">
        <v>12</v>
      </c>
      <c r="M72" s="284"/>
      <c r="N72" s="285"/>
      <c r="O72" s="284"/>
      <c r="P72" s="284"/>
      <c r="Q72" s="284"/>
      <c r="R72" s="287"/>
      <c r="S72" s="287"/>
      <c r="T72" s="286"/>
      <c r="U72" s="287"/>
      <c r="V72" s="287"/>
      <c r="W72" s="287"/>
      <c r="X72" s="287"/>
      <c r="Y72" s="287"/>
      <c r="Z72" s="287"/>
      <c r="AA72" s="287"/>
      <c r="AB72" s="287"/>
      <c r="AC72" s="287"/>
      <c r="AD72" s="287"/>
      <c r="AE72" s="287"/>
      <c r="AF72" s="287"/>
      <c r="AG72" s="284"/>
      <c r="AH72" s="284"/>
      <c r="AI72" s="283"/>
      <c r="AJ72" s="305"/>
      <c r="AK72" s="305"/>
      <c r="AL72" s="305"/>
      <c r="AM72" s="305"/>
      <c r="AN72" s="305"/>
      <c r="AO72" s="305"/>
      <c r="AP72" s="305"/>
      <c r="AQ72" s="305"/>
      <c r="AR72" s="305"/>
      <c r="AS72" s="305"/>
    </row>
    <row r="73" spans="1:45" s="306" customFormat="1" ht="39">
      <c r="A73" s="307" t="s">
        <v>285</v>
      </c>
      <c r="B73" s="293" t="s">
        <v>683</v>
      </c>
      <c r="C73" s="288" t="s">
        <v>797</v>
      </c>
      <c r="D73" s="284"/>
      <c r="E73" s="284"/>
      <c r="F73" s="284"/>
      <c r="G73" s="284"/>
      <c r="H73" s="284"/>
      <c r="I73" s="284"/>
      <c r="J73" s="284">
        <v>2</v>
      </c>
      <c r="K73" s="329">
        <f t="shared" si="0"/>
        <v>0.32710524938504215</v>
      </c>
      <c r="L73" s="328">
        <v>5</v>
      </c>
      <c r="M73" s="284"/>
      <c r="N73" s="285"/>
      <c r="O73" s="284"/>
      <c r="P73" s="284"/>
      <c r="Q73" s="284"/>
      <c r="R73" s="287"/>
      <c r="S73" s="287"/>
      <c r="T73" s="286"/>
      <c r="U73" s="287"/>
      <c r="V73" s="287"/>
      <c r="W73" s="287"/>
      <c r="X73" s="287"/>
      <c r="Y73" s="287"/>
      <c r="Z73" s="287"/>
      <c r="AA73" s="287"/>
      <c r="AB73" s="287"/>
      <c r="AC73" s="287"/>
      <c r="AD73" s="287"/>
      <c r="AE73" s="287"/>
      <c r="AF73" s="287"/>
      <c r="AG73" s="284"/>
      <c r="AH73" s="284"/>
      <c r="AI73" s="283"/>
      <c r="AJ73" s="305"/>
      <c r="AK73" s="305"/>
      <c r="AL73" s="305"/>
      <c r="AM73" s="305"/>
      <c r="AN73" s="305"/>
      <c r="AO73" s="305"/>
      <c r="AP73" s="305"/>
      <c r="AQ73" s="305"/>
      <c r="AR73" s="305"/>
      <c r="AS73" s="305"/>
    </row>
    <row r="74" spans="1:45" s="306" customFormat="1" ht="23.25">
      <c r="A74" s="307" t="s">
        <v>287</v>
      </c>
      <c r="B74" s="292" t="s">
        <v>684</v>
      </c>
      <c r="C74" s="288" t="s">
        <v>797</v>
      </c>
      <c r="D74" s="284"/>
      <c r="E74" s="284"/>
      <c r="F74" s="284"/>
      <c r="G74" s="284"/>
      <c r="H74" s="284"/>
      <c r="I74" s="284"/>
      <c r="J74" s="284">
        <v>3</v>
      </c>
      <c r="K74" s="329">
        <f t="shared" si="0"/>
        <v>0.29439472444653791</v>
      </c>
      <c r="L74" s="328">
        <v>4.5</v>
      </c>
      <c r="M74" s="284"/>
      <c r="N74" s="285"/>
      <c r="O74" s="284"/>
      <c r="P74" s="284"/>
      <c r="Q74" s="284"/>
      <c r="R74" s="287"/>
      <c r="S74" s="287"/>
      <c r="T74" s="286"/>
      <c r="U74" s="287"/>
      <c r="V74" s="287"/>
      <c r="W74" s="287"/>
      <c r="X74" s="287"/>
      <c r="Y74" s="287"/>
      <c r="Z74" s="287"/>
      <c r="AA74" s="287"/>
      <c r="AB74" s="287"/>
      <c r="AC74" s="287"/>
      <c r="AD74" s="287"/>
      <c r="AE74" s="287"/>
      <c r="AF74" s="287"/>
      <c r="AG74" s="284"/>
      <c r="AH74" s="284"/>
      <c r="AI74" s="283"/>
      <c r="AJ74" s="305"/>
      <c r="AK74" s="305"/>
      <c r="AL74" s="305"/>
      <c r="AM74" s="305"/>
      <c r="AN74" s="305"/>
      <c r="AO74" s="305"/>
      <c r="AP74" s="305"/>
      <c r="AQ74" s="305"/>
      <c r="AR74" s="305"/>
      <c r="AS74" s="305"/>
    </row>
    <row r="75" spans="1:45" s="306" customFormat="1" ht="39">
      <c r="A75" s="307" t="s">
        <v>289</v>
      </c>
      <c r="B75" s="294" t="s">
        <v>685</v>
      </c>
      <c r="C75" s="288" t="s">
        <v>797</v>
      </c>
      <c r="D75" s="284"/>
      <c r="E75" s="284"/>
      <c r="F75" s="284"/>
      <c r="G75" s="284"/>
      <c r="H75" s="284"/>
      <c r="I75" s="284"/>
      <c r="J75" s="284">
        <v>3</v>
      </c>
      <c r="K75" s="329">
        <f t="shared" si="0"/>
        <v>0.29439472444653791</v>
      </c>
      <c r="L75" s="328">
        <v>4.5</v>
      </c>
      <c r="M75" s="284"/>
      <c r="N75" s="285"/>
      <c r="O75" s="284"/>
      <c r="P75" s="284"/>
      <c r="Q75" s="284"/>
      <c r="R75" s="287"/>
      <c r="S75" s="287"/>
      <c r="T75" s="286"/>
      <c r="U75" s="287"/>
      <c r="V75" s="287"/>
      <c r="W75" s="287"/>
      <c r="X75" s="287"/>
      <c r="Y75" s="287"/>
      <c r="Z75" s="287"/>
      <c r="AA75" s="287"/>
      <c r="AB75" s="287"/>
      <c r="AC75" s="287"/>
      <c r="AD75" s="287"/>
      <c r="AE75" s="287"/>
      <c r="AF75" s="287"/>
      <c r="AG75" s="284"/>
      <c r="AH75" s="284"/>
      <c r="AI75" s="283"/>
      <c r="AJ75" s="305"/>
      <c r="AK75" s="305"/>
      <c r="AL75" s="305"/>
      <c r="AM75" s="305"/>
      <c r="AN75" s="305"/>
      <c r="AO75" s="305"/>
      <c r="AP75" s="305"/>
      <c r="AQ75" s="305"/>
      <c r="AR75" s="305"/>
      <c r="AS75" s="305"/>
    </row>
    <row r="76" spans="1:45" s="306" customFormat="1" ht="39">
      <c r="A76" s="307" t="s">
        <v>289</v>
      </c>
      <c r="B76" s="293" t="s">
        <v>686</v>
      </c>
      <c r="C76" s="315" t="s">
        <v>794</v>
      </c>
      <c r="D76" s="284"/>
      <c r="E76" s="284"/>
      <c r="F76" s="284"/>
      <c r="G76" s="284"/>
      <c r="H76" s="284"/>
      <c r="I76" s="284"/>
      <c r="J76" s="284">
        <v>3.6</v>
      </c>
      <c r="K76" s="329">
        <f t="shared" si="0"/>
        <v>0.6542104987700843</v>
      </c>
      <c r="L76" s="328">
        <v>10</v>
      </c>
      <c r="M76" s="284"/>
      <c r="N76" s="285"/>
      <c r="O76" s="284"/>
      <c r="P76" s="284"/>
      <c r="Q76" s="284"/>
      <c r="R76" s="287"/>
      <c r="S76" s="287"/>
      <c r="T76" s="286"/>
      <c r="U76" s="287"/>
      <c r="V76" s="287"/>
      <c r="W76" s="287"/>
      <c r="X76" s="287"/>
      <c r="Y76" s="287"/>
      <c r="Z76" s="287"/>
      <c r="AA76" s="287"/>
      <c r="AB76" s="287"/>
      <c r="AC76" s="287"/>
      <c r="AD76" s="287"/>
      <c r="AE76" s="287"/>
      <c r="AF76" s="287"/>
      <c r="AG76" s="284"/>
      <c r="AH76" s="284"/>
      <c r="AI76" s="283"/>
      <c r="AJ76" s="305"/>
      <c r="AK76" s="305"/>
      <c r="AL76" s="305"/>
      <c r="AM76" s="305"/>
      <c r="AN76" s="305"/>
      <c r="AO76" s="305"/>
      <c r="AP76" s="305"/>
      <c r="AQ76" s="305"/>
      <c r="AR76" s="305"/>
      <c r="AS76" s="305"/>
    </row>
    <row r="77" spans="1:45" s="306" customFormat="1" ht="40.5">
      <c r="A77" s="307" t="s">
        <v>291</v>
      </c>
      <c r="B77" s="292" t="s">
        <v>687</v>
      </c>
      <c r="C77" s="316" t="s">
        <v>797</v>
      </c>
      <c r="D77" s="284"/>
      <c r="E77" s="284"/>
      <c r="F77" s="284"/>
      <c r="G77" s="284"/>
      <c r="H77" s="284"/>
      <c r="I77" s="284"/>
      <c r="J77" s="284">
        <v>5</v>
      </c>
      <c r="K77" s="329">
        <f t="shared" si="0"/>
        <v>0.32710524938504215</v>
      </c>
      <c r="L77" s="328">
        <v>5</v>
      </c>
      <c r="M77" s="284"/>
      <c r="N77" s="285"/>
      <c r="O77" s="284"/>
      <c r="P77" s="284"/>
      <c r="Q77" s="284"/>
      <c r="R77" s="287"/>
      <c r="S77" s="287"/>
      <c r="T77" s="286"/>
      <c r="U77" s="287"/>
      <c r="V77" s="287"/>
      <c r="W77" s="287"/>
      <c r="X77" s="287"/>
      <c r="Y77" s="287"/>
      <c r="Z77" s="287"/>
      <c r="AA77" s="287"/>
      <c r="AB77" s="287"/>
      <c r="AC77" s="287"/>
      <c r="AD77" s="287"/>
      <c r="AE77" s="287"/>
      <c r="AF77" s="287"/>
      <c r="AG77" s="284"/>
      <c r="AH77" s="284"/>
      <c r="AI77" s="283"/>
      <c r="AJ77" s="305"/>
      <c r="AK77" s="305"/>
      <c r="AL77" s="305"/>
      <c r="AM77" s="305"/>
      <c r="AN77" s="305"/>
      <c r="AO77" s="305"/>
      <c r="AP77" s="305"/>
      <c r="AQ77" s="305"/>
      <c r="AR77" s="305"/>
      <c r="AS77" s="305"/>
    </row>
    <row r="78" spans="1:45" s="306" customFormat="1" ht="40.5">
      <c r="A78" s="307" t="s">
        <v>293</v>
      </c>
      <c r="B78" s="292" t="s">
        <v>688</v>
      </c>
      <c r="C78" s="316" t="s">
        <v>797</v>
      </c>
      <c r="D78" s="284"/>
      <c r="E78" s="284"/>
      <c r="F78" s="284"/>
      <c r="G78" s="284"/>
      <c r="H78" s="284"/>
      <c r="I78" s="284"/>
      <c r="J78" s="284">
        <v>3</v>
      </c>
      <c r="K78" s="329">
        <f t="shared" si="0"/>
        <v>0.29439472444653791</v>
      </c>
      <c r="L78" s="328">
        <v>4.5</v>
      </c>
      <c r="M78" s="284"/>
      <c r="N78" s="285"/>
      <c r="O78" s="284"/>
      <c r="P78" s="284"/>
      <c r="Q78" s="284"/>
      <c r="R78" s="287"/>
      <c r="S78" s="287"/>
      <c r="T78" s="286"/>
      <c r="U78" s="287"/>
      <c r="V78" s="287"/>
      <c r="W78" s="287"/>
      <c r="X78" s="287"/>
      <c r="Y78" s="287"/>
      <c r="Z78" s="287"/>
      <c r="AA78" s="287"/>
      <c r="AB78" s="287"/>
      <c r="AC78" s="287"/>
      <c r="AD78" s="287"/>
      <c r="AE78" s="287"/>
      <c r="AF78" s="287"/>
      <c r="AG78" s="284"/>
      <c r="AH78" s="284"/>
      <c r="AI78" s="283"/>
      <c r="AJ78" s="305"/>
      <c r="AK78" s="305"/>
      <c r="AL78" s="305"/>
      <c r="AM78" s="305"/>
      <c r="AN78" s="305"/>
      <c r="AO78" s="305"/>
      <c r="AP78" s="305"/>
      <c r="AQ78" s="305"/>
      <c r="AR78" s="305"/>
      <c r="AS78" s="305"/>
    </row>
    <row r="79" spans="1:45" s="306" customFormat="1" ht="40.5">
      <c r="A79" s="307" t="s">
        <v>297</v>
      </c>
      <c r="B79" s="292" t="s">
        <v>689</v>
      </c>
      <c r="C79" s="316" t="s">
        <v>797</v>
      </c>
      <c r="D79" s="284"/>
      <c r="E79" s="284"/>
      <c r="F79" s="284"/>
      <c r="G79" s="284"/>
      <c r="H79" s="284"/>
      <c r="I79" s="284"/>
      <c r="J79" s="284">
        <v>7.5</v>
      </c>
      <c r="K79" s="329">
        <f t="shared" si="0"/>
        <v>0.98131574815512634</v>
      </c>
      <c r="L79" s="328">
        <v>15</v>
      </c>
      <c r="M79" s="284"/>
      <c r="N79" s="285"/>
      <c r="O79" s="284"/>
      <c r="P79" s="284"/>
      <c r="Q79" s="284"/>
      <c r="R79" s="287"/>
      <c r="S79" s="287"/>
      <c r="T79" s="286"/>
      <c r="U79" s="287"/>
      <c r="V79" s="287"/>
      <c r="W79" s="287"/>
      <c r="X79" s="287"/>
      <c r="Y79" s="287"/>
      <c r="Z79" s="287"/>
      <c r="AA79" s="287"/>
      <c r="AB79" s="287"/>
      <c r="AC79" s="287"/>
      <c r="AD79" s="287"/>
      <c r="AE79" s="287"/>
      <c r="AF79" s="287"/>
      <c r="AG79" s="284"/>
      <c r="AH79" s="284"/>
      <c r="AI79" s="283"/>
      <c r="AJ79" s="305"/>
      <c r="AK79" s="305"/>
      <c r="AL79" s="305"/>
      <c r="AM79" s="305"/>
      <c r="AN79" s="305"/>
      <c r="AO79" s="305"/>
      <c r="AP79" s="305"/>
      <c r="AQ79" s="305"/>
      <c r="AR79" s="305"/>
      <c r="AS79" s="305"/>
    </row>
    <row r="80" spans="1:45" s="306" customFormat="1" ht="23.25">
      <c r="A80" s="307" t="s">
        <v>299</v>
      </c>
      <c r="B80" s="292" t="s">
        <v>690</v>
      </c>
      <c r="C80" s="316" t="s">
        <v>797</v>
      </c>
      <c r="D80" s="284"/>
      <c r="E80" s="284"/>
      <c r="F80" s="284"/>
      <c r="G80" s="284"/>
      <c r="H80" s="284"/>
      <c r="I80" s="284"/>
      <c r="J80" s="284">
        <v>1</v>
      </c>
      <c r="K80" s="329">
        <f t="shared" si="0"/>
        <v>0.13084209975401687</v>
      </c>
      <c r="L80" s="328">
        <v>2</v>
      </c>
      <c r="M80" s="284"/>
      <c r="N80" s="285"/>
      <c r="O80" s="284"/>
      <c r="P80" s="284"/>
      <c r="Q80" s="284"/>
      <c r="R80" s="287"/>
      <c r="S80" s="287"/>
      <c r="T80" s="286"/>
      <c r="U80" s="287"/>
      <c r="V80" s="287"/>
      <c r="W80" s="287"/>
      <c r="X80" s="287"/>
      <c r="Y80" s="287"/>
      <c r="Z80" s="287"/>
      <c r="AA80" s="287"/>
      <c r="AB80" s="287"/>
      <c r="AC80" s="287"/>
      <c r="AD80" s="287"/>
      <c r="AE80" s="287"/>
      <c r="AF80" s="287"/>
      <c r="AG80" s="284"/>
      <c r="AH80" s="284"/>
      <c r="AI80" s="283"/>
      <c r="AJ80" s="305"/>
      <c r="AK80" s="305"/>
      <c r="AL80" s="305"/>
      <c r="AM80" s="305"/>
      <c r="AN80" s="305"/>
      <c r="AO80" s="305"/>
      <c r="AP80" s="305"/>
      <c r="AQ80" s="305"/>
      <c r="AR80" s="305"/>
      <c r="AS80" s="305"/>
    </row>
    <row r="81" spans="1:45" s="306" customFormat="1" ht="23.25">
      <c r="A81" s="307" t="s">
        <v>301</v>
      </c>
      <c r="B81" s="304" t="s">
        <v>691</v>
      </c>
      <c r="C81" s="316" t="s">
        <v>797</v>
      </c>
      <c r="D81" s="284"/>
      <c r="E81" s="284"/>
      <c r="F81" s="284"/>
      <c r="G81" s="284"/>
      <c r="H81" s="284"/>
      <c r="I81" s="284"/>
      <c r="J81" s="284">
        <v>1</v>
      </c>
      <c r="K81" s="329">
        <f t="shared" si="0"/>
        <v>1.9626314963102527</v>
      </c>
      <c r="L81" s="328">
        <v>30</v>
      </c>
      <c r="M81" s="284"/>
      <c r="N81" s="285"/>
      <c r="O81" s="284"/>
      <c r="P81" s="284"/>
      <c r="Q81" s="284"/>
      <c r="R81" s="287"/>
      <c r="S81" s="287"/>
      <c r="T81" s="286"/>
      <c r="U81" s="287"/>
      <c r="V81" s="287"/>
      <c r="W81" s="287"/>
      <c r="X81" s="287"/>
      <c r="Y81" s="287"/>
      <c r="Z81" s="287"/>
      <c r="AA81" s="287"/>
      <c r="AB81" s="287"/>
      <c r="AC81" s="287"/>
      <c r="AD81" s="287"/>
      <c r="AE81" s="287"/>
      <c r="AF81" s="287"/>
      <c r="AG81" s="284"/>
      <c r="AH81" s="284"/>
      <c r="AI81" s="283"/>
      <c r="AJ81" s="305"/>
      <c r="AK81" s="305"/>
      <c r="AL81" s="305"/>
      <c r="AM81" s="305"/>
      <c r="AN81" s="305"/>
      <c r="AO81" s="305"/>
      <c r="AP81" s="305"/>
      <c r="AQ81" s="305"/>
      <c r="AR81" s="305"/>
      <c r="AS81" s="305"/>
    </row>
    <row r="82" spans="1:45" s="306" customFormat="1" ht="39">
      <c r="A82" s="307" t="s">
        <v>692</v>
      </c>
      <c r="B82" s="304" t="s">
        <v>693</v>
      </c>
      <c r="C82" s="316" t="s">
        <v>797</v>
      </c>
      <c r="D82" s="284"/>
      <c r="E82" s="284"/>
      <c r="F82" s="284"/>
      <c r="G82" s="284"/>
      <c r="H82" s="284"/>
      <c r="I82" s="284"/>
      <c r="J82" s="284">
        <v>1</v>
      </c>
      <c r="K82" s="329">
        <f t="shared" si="0"/>
        <v>1.3084209975401686</v>
      </c>
      <c r="L82" s="328">
        <v>20</v>
      </c>
      <c r="M82" s="284"/>
      <c r="N82" s="285"/>
      <c r="O82" s="284"/>
      <c r="P82" s="284"/>
      <c r="Q82" s="284"/>
      <c r="R82" s="287"/>
      <c r="S82" s="287"/>
      <c r="T82" s="286"/>
      <c r="U82" s="287"/>
      <c r="V82" s="287"/>
      <c r="W82" s="287"/>
      <c r="X82" s="287"/>
      <c r="Y82" s="287"/>
      <c r="Z82" s="287"/>
      <c r="AA82" s="287"/>
      <c r="AB82" s="287"/>
      <c r="AC82" s="287"/>
      <c r="AD82" s="287"/>
      <c r="AE82" s="287"/>
      <c r="AF82" s="287"/>
      <c r="AG82" s="284"/>
      <c r="AH82" s="284"/>
      <c r="AI82" s="283"/>
      <c r="AJ82" s="305"/>
      <c r="AK82" s="305"/>
      <c r="AL82" s="305"/>
      <c r="AM82" s="305"/>
      <c r="AN82" s="305"/>
      <c r="AO82" s="305"/>
      <c r="AP82" s="305"/>
      <c r="AQ82" s="305"/>
      <c r="AR82" s="305"/>
      <c r="AS82" s="305"/>
    </row>
    <row r="83" spans="1:45" s="306" customFormat="1" ht="39">
      <c r="A83" s="303" t="s">
        <v>305</v>
      </c>
      <c r="B83" s="304" t="s">
        <v>694</v>
      </c>
      <c r="C83" s="316" t="s">
        <v>797</v>
      </c>
      <c r="D83" s="284"/>
      <c r="E83" s="284"/>
      <c r="F83" s="284"/>
      <c r="G83" s="284"/>
      <c r="H83" s="284"/>
      <c r="I83" s="284"/>
      <c r="J83" s="284">
        <v>5</v>
      </c>
      <c r="K83" s="329">
        <f t="shared" si="0"/>
        <v>0.32710524938504215</v>
      </c>
      <c r="L83" s="328">
        <v>5</v>
      </c>
      <c r="M83" s="284"/>
      <c r="N83" s="285"/>
      <c r="O83" s="284"/>
      <c r="P83" s="284"/>
      <c r="Q83" s="284"/>
      <c r="R83" s="287"/>
      <c r="S83" s="287"/>
      <c r="T83" s="286"/>
      <c r="U83" s="287"/>
      <c r="V83" s="287"/>
      <c r="W83" s="287"/>
      <c r="X83" s="287"/>
      <c r="Y83" s="287"/>
      <c r="Z83" s="287"/>
      <c r="AA83" s="287"/>
      <c r="AB83" s="287"/>
      <c r="AC83" s="287"/>
      <c r="AD83" s="287"/>
      <c r="AE83" s="287"/>
      <c r="AF83" s="287"/>
      <c r="AG83" s="284"/>
      <c r="AH83" s="284"/>
      <c r="AI83" s="283"/>
      <c r="AJ83" s="305"/>
      <c r="AK83" s="305"/>
      <c r="AL83" s="305"/>
      <c r="AM83" s="305"/>
      <c r="AN83" s="305"/>
      <c r="AO83" s="305"/>
      <c r="AP83" s="305"/>
      <c r="AQ83" s="305"/>
      <c r="AR83" s="305"/>
      <c r="AS83" s="305"/>
    </row>
    <row r="84" spans="1:45" s="306" customFormat="1" ht="39">
      <c r="A84" s="303" t="s">
        <v>307</v>
      </c>
      <c r="B84" s="304" t="s">
        <v>695</v>
      </c>
      <c r="C84" s="316" t="s">
        <v>797</v>
      </c>
      <c r="D84" s="284"/>
      <c r="E84" s="284"/>
      <c r="F84" s="284"/>
      <c r="G84" s="284"/>
      <c r="H84" s="284"/>
      <c r="I84" s="284"/>
      <c r="J84" s="284">
        <v>1</v>
      </c>
      <c r="K84" s="329">
        <f t="shared" si="0"/>
        <v>0.98131574815512634</v>
      </c>
      <c r="L84" s="328">
        <v>15</v>
      </c>
      <c r="M84" s="284"/>
      <c r="N84" s="285"/>
      <c r="O84" s="284"/>
      <c r="P84" s="284"/>
      <c r="Q84" s="284"/>
      <c r="R84" s="287"/>
      <c r="S84" s="287"/>
      <c r="T84" s="286"/>
      <c r="U84" s="287"/>
      <c r="V84" s="287"/>
      <c r="W84" s="287"/>
      <c r="X84" s="287"/>
      <c r="Y84" s="287"/>
      <c r="Z84" s="287"/>
      <c r="AA84" s="287"/>
      <c r="AB84" s="287"/>
      <c r="AC84" s="287"/>
      <c r="AD84" s="287"/>
      <c r="AE84" s="287"/>
      <c r="AF84" s="287"/>
      <c r="AG84" s="284"/>
      <c r="AH84" s="284"/>
      <c r="AI84" s="283"/>
      <c r="AJ84" s="305"/>
      <c r="AK84" s="305"/>
      <c r="AL84" s="305"/>
      <c r="AM84" s="305"/>
      <c r="AN84" s="305"/>
      <c r="AO84" s="305"/>
      <c r="AP84" s="305"/>
      <c r="AQ84" s="305"/>
      <c r="AR84" s="305"/>
      <c r="AS84" s="305"/>
    </row>
    <row r="85" spans="1:45" s="306" customFormat="1" ht="39">
      <c r="A85" s="303" t="s">
        <v>309</v>
      </c>
      <c r="B85" s="304" t="s">
        <v>696</v>
      </c>
      <c r="C85" s="316" t="s">
        <v>797</v>
      </c>
      <c r="D85" s="284"/>
      <c r="E85" s="284"/>
      <c r="F85" s="284"/>
      <c r="G85" s="284"/>
      <c r="H85" s="284"/>
      <c r="I85" s="284"/>
      <c r="J85" s="284">
        <v>1</v>
      </c>
      <c r="K85" s="329">
        <f t="shared" ref="K85:K132" si="6">(L85/1528.56)*100</f>
        <v>6.542104987700843</v>
      </c>
      <c r="L85" s="328">
        <v>100</v>
      </c>
      <c r="M85" s="284"/>
      <c r="N85" s="285"/>
      <c r="O85" s="284"/>
      <c r="P85" s="284"/>
      <c r="Q85" s="284"/>
      <c r="R85" s="287"/>
      <c r="S85" s="287"/>
      <c r="T85" s="286"/>
      <c r="U85" s="287"/>
      <c r="V85" s="287"/>
      <c r="W85" s="287"/>
      <c r="X85" s="287"/>
      <c r="Y85" s="287"/>
      <c r="Z85" s="287"/>
      <c r="AA85" s="287"/>
      <c r="AB85" s="287"/>
      <c r="AC85" s="287"/>
      <c r="AD85" s="287"/>
      <c r="AE85" s="287"/>
      <c r="AF85" s="287"/>
      <c r="AG85" s="284"/>
      <c r="AH85" s="284"/>
      <c r="AI85" s="283"/>
      <c r="AJ85" s="305"/>
      <c r="AK85" s="305"/>
      <c r="AL85" s="305"/>
      <c r="AM85" s="305"/>
      <c r="AN85" s="305"/>
      <c r="AO85" s="305"/>
      <c r="AP85" s="305"/>
      <c r="AQ85" s="305"/>
      <c r="AR85" s="305"/>
      <c r="AS85" s="305"/>
    </row>
    <row r="86" spans="1:45" s="306" customFormat="1" ht="23.25">
      <c r="A86" s="303" t="s">
        <v>311</v>
      </c>
      <c r="B86" s="304" t="s">
        <v>697</v>
      </c>
      <c r="C86" s="316" t="s">
        <v>797</v>
      </c>
      <c r="D86" s="284"/>
      <c r="E86" s="284"/>
      <c r="F86" s="284"/>
      <c r="G86" s="284"/>
      <c r="H86" s="284"/>
      <c r="I86" s="284"/>
      <c r="J86" s="284">
        <v>1</v>
      </c>
      <c r="K86" s="329">
        <f t="shared" si="6"/>
        <v>6.5421049877008433E-2</v>
      </c>
      <c r="L86" s="328">
        <v>1</v>
      </c>
      <c r="M86" s="284"/>
      <c r="N86" s="285"/>
      <c r="O86" s="284"/>
      <c r="P86" s="284"/>
      <c r="Q86" s="284"/>
      <c r="R86" s="287"/>
      <c r="S86" s="287"/>
      <c r="T86" s="286"/>
      <c r="U86" s="287"/>
      <c r="V86" s="287"/>
      <c r="W86" s="287"/>
      <c r="X86" s="287"/>
      <c r="Y86" s="287"/>
      <c r="Z86" s="287"/>
      <c r="AA86" s="287"/>
      <c r="AB86" s="287"/>
      <c r="AC86" s="287"/>
      <c r="AD86" s="287"/>
      <c r="AE86" s="287"/>
      <c r="AF86" s="287"/>
      <c r="AG86" s="284"/>
      <c r="AH86" s="284"/>
      <c r="AI86" s="283"/>
      <c r="AJ86" s="305"/>
      <c r="AK86" s="305"/>
      <c r="AL86" s="305"/>
      <c r="AM86" s="305"/>
      <c r="AN86" s="305"/>
      <c r="AO86" s="305"/>
      <c r="AP86" s="305"/>
      <c r="AQ86" s="305"/>
      <c r="AR86" s="305"/>
      <c r="AS86" s="305"/>
    </row>
    <row r="87" spans="1:45" s="306" customFormat="1" ht="39">
      <c r="A87" s="303" t="s">
        <v>313</v>
      </c>
      <c r="B87" s="304" t="s">
        <v>698</v>
      </c>
      <c r="C87" s="316" t="s">
        <v>797</v>
      </c>
      <c r="D87" s="284"/>
      <c r="E87" s="284"/>
      <c r="F87" s="284"/>
      <c r="G87" s="284"/>
      <c r="H87" s="284"/>
      <c r="I87" s="284"/>
      <c r="J87" s="284">
        <v>1</v>
      </c>
      <c r="K87" s="329">
        <f t="shared" si="6"/>
        <v>6.5421049877008433E-2</v>
      </c>
      <c r="L87" s="328">
        <v>1</v>
      </c>
      <c r="M87" s="284"/>
      <c r="N87" s="285"/>
      <c r="O87" s="284"/>
      <c r="P87" s="284"/>
      <c r="Q87" s="284"/>
      <c r="R87" s="287"/>
      <c r="S87" s="287"/>
      <c r="T87" s="286"/>
      <c r="U87" s="287"/>
      <c r="V87" s="287"/>
      <c r="W87" s="287"/>
      <c r="X87" s="287"/>
      <c r="Y87" s="287"/>
      <c r="Z87" s="287"/>
      <c r="AA87" s="287"/>
      <c r="AB87" s="287"/>
      <c r="AC87" s="287"/>
      <c r="AD87" s="287"/>
      <c r="AE87" s="287"/>
      <c r="AF87" s="287"/>
      <c r="AG87" s="284"/>
      <c r="AH87" s="284"/>
      <c r="AI87" s="283"/>
      <c r="AJ87" s="305"/>
      <c r="AK87" s="305"/>
      <c r="AL87" s="305"/>
      <c r="AM87" s="305"/>
      <c r="AN87" s="305"/>
      <c r="AO87" s="305"/>
      <c r="AP87" s="305"/>
      <c r="AQ87" s="305"/>
      <c r="AR87" s="305"/>
      <c r="AS87" s="305"/>
    </row>
    <row r="88" spans="1:45" s="306" customFormat="1" ht="39">
      <c r="A88" s="303" t="s">
        <v>315</v>
      </c>
      <c r="B88" s="304" t="s">
        <v>699</v>
      </c>
      <c r="C88" s="316" t="s">
        <v>797</v>
      </c>
      <c r="D88" s="284"/>
      <c r="E88" s="284"/>
      <c r="F88" s="284"/>
      <c r="G88" s="284"/>
      <c r="H88" s="284"/>
      <c r="I88" s="284"/>
      <c r="J88" s="284">
        <v>1</v>
      </c>
      <c r="K88" s="329">
        <f t="shared" si="6"/>
        <v>6.5421049877008433E-2</v>
      </c>
      <c r="L88" s="328">
        <v>1</v>
      </c>
      <c r="M88" s="284"/>
      <c r="N88" s="285"/>
      <c r="O88" s="284"/>
      <c r="P88" s="284"/>
      <c r="Q88" s="284"/>
      <c r="R88" s="287"/>
      <c r="S88" s="287"/>
      <c r="T88" s="286"/>
      <c r="U88" s="287"/>
      <c r="V88" s="287"/>
      <c r="W88" s="287"/>
      <c r="X88" s="287"/>
      <c r="Y88" s="287"/>
      <c r="Z88" s="287"/>
      <c r="AA88" s="287"/>
      <c r="AB88" s="287"/>
      <c r="AC88" s="287"/>
      <c r="AD88" s="287"/>
      <c r="AE88" s="287"/>
      <c r="AF88" s="287"/>
      <c r="AG88" s="284"/>
      <c r="AH88" s="284"/>
      <c r="AI88" s="283"/>
      <c r="AJ88" s="305"/>
      <c r="AK88" s="305"/>
      <c r="AL88" s="305"/>
      <c r="AM88" s="305"/>
      <c r="AN88" s="305"/>
      <c r="AO88" s="305"/>
      <c r="AP88" s="305"/>
      <c r="AQ88" s="305"/>
      <c r="AR88" s="305"/>
      <c r="AS88" s="305"/>
    </row>
    <row r="89" spans="1:45" s="306" customFormat="1" ht="39">
      <c r="A89" s="303" t="s">
        <v>317</v>
      </c>
      <c r="B89" s="304" t="s">
        <v>700</v>
      </c>
      <c r="C89" s="316" t="s">
        <v>797</v>
      </c>
      <c r="D89" s="284"/>
      <c r="E89" s="284"/>
      <c r="F89" s="284"/>
      <c r="G89" s="284"/>
      <c r="H89" s="284"/>
      <c r="I89" s="284"/>
      <c r="J89" s="284">
        <v>1</v>
      </c>
      <c r="K89" s="329">
        <f t="shared" si="6"/>
        <v>6.5421049877008433E-2</v>
      </c>
      <c r="L89" s="328">
        <v>1</v>
      </c>
      <c r="M89" s="284"/>
      <c r="N89" s="285"/>
      <c r="O89" s="284"/>
      <c r="P89" s="284"/>
      <c r="Q89" s="284"/>
      <c r="R89" s="287"/>
      <c r="S89" s="287"/>
      <c r="T89" s="286"/>
      <c r="U89" s="287"/>
      <c r="V89" s="287"/>
      <c r="W89" s="287"/>
      <c r="X89" s="287"/>
      <c r="Y89" s="287"/>
      <c r="Z89" s="287"/>
      <c r="AA89" s="287"/>
      <c r="AB89" s="287"/>
      <c r="AC89" s="287"/>
      <c r="AD89" s="287"/>
      <c r="AE89" s="287"/>
      <c r="AF89" s="287"/>
      <c r="AG89" s="284"/>
      <c r="AH89" s="284"/>
      <c r="AI89" s="283"/>
      <c r="AJ89" s="305"/>
      <c r="AK89" s="305"/>
      <c r="AL89" s="305"/>
      <c r="AM89" s="305"/>
      <c r="AN89" s="305"/>
      <c r="AO89" s="305"/>
      <c r="AP89" s="305"/>
      <c r="AQ89" s="305"/>
      <c r="AR89" s="305"/>
      <c r="AS89" s="305"/>
    </row>
    <row r="90" spans="1:45" s="306" customFormat="1" ht="39">
      <c r="A90" s="303" t="s">
        <v>319</v>
      </c>
      <c r="B90" s="304" t="s">
        <v>701</v>
      </c>
      <c r="C90" s="316" t="s">
        <v>797</v>
      </c>
      <c r="D90" s="284"/>
      <c r="E90" s="284"/>
      <c r="F90" s="284"/>
      <c r="G90" s="284"/>
      <c r="H90" s="284"/>
      <c r="I90" s="284"/>
      <c r="J90" s="284">
        <v>1</v>
      </c>
      <c r="K90" s="329">
        <f t="shared" si="6"/>
        <v>6.5421049877008433E-2</v>
      </c>
      <c r="L90" s="328">
        <v>1</v>
      </c>
      <c r="M90" s="284"/>
      <c r="N90" s="285"/>
      <c r="O90" s="284"/>
      <c r="P90" s="284"/>
      <c r="Q90" s="284"/>
      <c r="R90" s="287"/>
      <c r="S90" s="287"/>
      <c r="T90" s="286"/>
      <c r="U90" s="287"/>
      <c r="V90" s="287"/>
      <c r="W90" s="287"/>
      <c r="X90" s="287"/>
      <c r="Y90" s="287"/>
      <c r="Z90" s="287"/>
      <c r="AA90" s="287"/>
      <c r="AB90" s="287"/>
      <c r="AC90" s="287"/>
      <c r="AD90" s="287"/>
      <c r="AE90" s="287"/>
      <c r="AF90" s="287"/>
      <c r="AG90" s="284"/>
      <c r="AH90" s="284"/>
      <c r="AI90" s="283"/>
      <c r="AJ90" s="305"/>
      <c r="AK90" s="305"/>
      <c r="AL90" s="305"/>
      <c r="AM90" s="305"/>
      <c r="AN90" s="305"/>
      <c r="AO90" s="305"/>
      <c r="AP90" s="305"/>
      <c r="AQ90" s="305"/>
      <c r="AR90" s="305"/>
      <c r="AS90" s="305"/>
    </row>
    <row r="91" spans="1:45" s="306" customFormat="1" ht="39">
      <c r="A91" s="303" t="s">
        <v>321</v>
      </c>
      <c r="B91" s="304" t="s">
        <v>702</v>
      </c>
      <c r="C91" s="316" t="s">
        <v>797</v>
      </c>
      <c r="D91" s="284"/>
      <c r="E91" s="284"/>
      <c r="F91" s="284"/>
      <c r="G91" s="284"/>
      <c r="H91" s="284"/>
      <c r="I91" s="284"/>
      <c r="J91" s="284">
        <v>20.67</v>
      </c>
      <c r="K91" s="329">
        <f t="shared" si="6"/>
        <v>2.0280525461872614</v>
      </c>
      <c r="L91" s="328">
        <v>31</v>
      </c>
      <c r="M91" s="284"/>
      <c r="N91" s="285"/>
      <c r="O91" s="284"/>
      <c r="P91" s="284"/>
      <c r="Q91" s="284"/>
      <c r="R91" s="287"/>
      <c r="S91" s="287"/>
      <c r="T91" s="286"/>
      <c r="U91" s="287"/>
      <c r="V91" s="287"/>
      <c r="W91" s="287"/>
      <c r="X91" s="287"/>
      <c r="Y91" s="287"/>
      <c r="Z91" s="287"/>
      <c r="AA91" s="287"/>
      <c r="AB91" s="287"/>
      <c r="AC91" s="287"/>
      <c r="AD91" s="287"/>
      <c r="AE91" s="287"/>
      <c r="AF91" s="287"/>
      <c r="AG91" s="284"/>
      <c r="AH91" s="284"/>
      <c r="AI91" s="283"/>
      <c r="AJ91" s="305"/>
      <c r="AK91" s="305"/>
      <c r="AL91" s="305"/>
      <c r="AM91" s="305"/>
      <c r="AN91" s="305"/>
      <c r="AO91" s="305"/>
      <c r="AP91" s="305"/>
      <c r="AQ91" s="305"/>
      <c r="AR91" s="305"/>
      <c r="AS91" s="305"/>
    </row>
    <row r="92" spans="1:45" s="306" customFormat="1" ht="39">
      <c r="A92" s="303" t="s">
        <v>325</v>
      </c>
      <c r="B92" s="304" t="s">
        <v>703</v>
      </c>
      <c r="C92" s="316" t="s">
        <v>797</v>
      </c>
      <c r="D92" s="284"/>
      <c r="E92" s="284"/>
      <c r="F92" s="284"/>
      <c r="G92" s="284"/>
      <c r="H92" s="284"/>
      <c r="I92" s="284"/>
      <c r="J92" s="284">
        <v>10</v>
      </c>
      <c r="K92" s="329">
        <f t="shared" si="6"/>
        <v>1.3084209975401686</v>
      </c>
      <c r="L92" s="328">
        <v>20</v>
      </c>
      <c r="M92" s="284"/>
      <c r="N92" s="285"/>
      <c r="O92" s="284"/>
      <c r="P92" s="284"/>
      <c r="Q92" s="284"/>
      <c r="R92" s="287"/>
      <c r="S92" s="287"/>
      <c r="T92" s="286"/>
      <c r="U92" s="287"/>
      <c r="V92" s="287"/>
      <c r="W92" s="287"/>
      <c r="X92" s="287"/>
      <c r="Y92" s="287"/>
      <c r="Z92" s="287"/>
      <c r="AA92" s="287"/>
      <c r="AB92" s="287"/>
      <c r="AC92" s="287"/>
      <c r="AD92" s="287"/>
      <c r="AE92" s="287"/>
      <c r="AF92" s="287"/>
      <c r="AG92" s="284"/>
      <c r="AH92" s="284"/>
      <c r="AI92" s="283"/>
      <c r="AJ92" s="305"/>
      <c r="AK92" s="305"/>
      <c r="AL92" s="305"/>
      <c r="AM92" s="305"/>
      <c r="AN92" s="305"/>
      <c r="AO92" s="305"/>
      <c r="AP92" s="305"/>
      <c r="AQ92" s="305"/>
      <c r="AR92" s="305"/>
      <c r="AS92" s="305"/>
    </row>
    <row r="93" spans="1:45" s="306" customFormat="1" ht="39">
      <c r="A93" s="303" t="s">
        <v>704</v>
      </c>
      <c r="B93" s="304" t="s">
        <v>705</v>
      </c>
      <c r="C93" s="288" t="s">
        <v>795</v>
      </c>
      <c r="D93" s="284"/>
      <c r="E93" s="284"/>
      <c r="F93" s="284"/>
      <c r="G93" s="284"/>
      <c r="H93" s="284"/>
      <c r="I93" s="284"/>
      <c r="J93" s="284">
        <v>1</v>
      </c>
      <c r="K93" s="329">
        <f t="shared" si="6"/>
        <v>4.9065787407756325</v>
      </c>
      <c r="L93" s="328">
        <v>75</v>
      </c>
      <c r="M93" s="284"/>
      <c r="N93" s="285"/>
      <c r="O93" s="284"/>
      <c r="P93" s="284"/>
      <c r="Q93" s="284"/>
      <c r="R93" s="287"/>
      <c r="S93" s="287"/>
      <c r="T93" s="286"/>
      <c r="U93" s="287"/>
      <c r="V93" s="287"/>
      <c r="W93" s="287"/>
      <c r="X93" s="287"/>
      <c r="Y93" s="287"/>
      <c r="Z93" s="287"/>
      <c r="AA93" s="287"/>
      <c r="AB93" s="287"/>
      <c r="AC93" s="287"/>
      <c r="AD93" s="287"/>
      <c r="AE93" s="287"/>
      <c r="AF93" s="287"/>
      <c r="AG93" s="284"/>
      <c r="AH93" s="284"/>
      <c r="AI93" s="283"/>
      <c r="AJ93" s="305"/>
      <c r="AK93" s="305"/>
      <c r="AL93" s="305"/>
      <c r="AM93" s="305"/>
      <c r="AN93" s="305"/>
      <c r="AO93" s="305"/>
      <c r="AP93" s="305"/>
      <c r="AQ93" s="305"/>
      <c r="AR93" s="305"/>
      <c r="AS93" s="305"/>
    </row>
    <row r="94" spans="1:45" s="306" customFormat="1" ht="39">
      <c r="A94" s="303" t="s">
        <v>327</v>
      </c>
      <c r="B94" s="304" t="s">
        <v>706</v>
      </c>
      <c r="C94" s="316" t="s">
        <v>797</v>
      </c>
      <c r="D94" s="284"/>
      <c r="E94" s="284"/>
      <c r="F94" s="284"/>
      <c r="G94" s="284"/>
      <c r="H94" s="284"/>
      <c r="I94" s="284"/>
      <c r="J94" s="284">
        <v>1</v>
      </c>
      <c r="K94" s="329">
        <f t="shared" si="6"/>
        <v>6.5421049877008433E-2</v>
      </c>
      <c r="L94" s="328">
        <v>1</v>
      </c>
      <c r="M94" s="284"/>
      <c r="N94" s="285"/>
      <c r="O94" s="284"/>
      <c r="P94" s="284"/>
      <c r="Q94" s="284"/>
      <c r="R94" s="287"/>
      <c r="S94" s="287"/>
      <c r="T94" s="286"/>
      <c r="U94" s="287"/>
      <c r="V94" s="287"/>
      <c r="W94" s="287"/>
      <c r="X94" s="287"/>
      <c r="Y94" s="287"/>
      <c r="Z94" s="287"/>
      <c r="AA94" s="287"/>
      <c r="AB94" s="287"/>
      <c r="AC94" s="287"/>
      <c r="AD94" s="287"/>
      <c r="AE94" s="287"/>
      <c r="AF94" s="287"/>
      <c r="AG94" s="284"/>
      <c r="AH94" s="284"/>
      <c r="AI94" s="283"/>
      <c r="AJ94" s="305"/>
      <c r="AK94" s="305"/>
      <c r="AL94" s="305"/>
      <c r="AM94" s="305"/>
      <c r="AN94" s="305"/>
      <c r="AO94" s="305"/>
      <c r="AP94" s="305"/>
      <c r="AQ94" s="305"/>
      <c r="AR94" s="305"/>
      <c r="AS94" s="305"/>
    </row>
    <row r="95" spans="1:45" s="306" customFormat="1" ht="23.25">
      <c r="A95" s="303" t="s">
        <v>329</v>
      </c>
      <c r="B95" s="304" t="s">
        <v>707</v>
      </c>
      <c r="C95" s="316" t="s">
        <v>797</v>
      </c>
      <c r="D95" s="284"/>
      <c r="E95" s="284"/>
      <c r="F95" s="284"/>
      <c r="G95" s="284"/>
      <c r="H95" s="284"/>
      <c r="I95" s="284"/>
      <c r="J95" s="284">
        <v>0.5</v>
      </c>
      <c r="K95" s="329">
        <f t="shared" si="6"/>
        <v>3.2710524938504217E-2</v>
      </c>
      <c r="L95" s="328">
        <v>0.5</v>
      </c>
      <c r="M95" s="284"/>
      <c r="N95" s="285"/>
      <c r="O95" s="284"/>
      <c r="P95" s="284"/>
      <c r="Q95" s="284"/>
      <c r="R95" s="287"/>
      <c r="S95" s="287"/>
      <c r="T95" s="286"/>
      <c r="U95" s="287"/>
      <c r="V95" s="287"/>
      <c r="W95" s="287"/>
      <c r="X95" s="287"/>
      <c r="Y95" s="287"/>
      <c r="Z95" s="287"/>
      <c r="AA95" s="287"/>
      <c r="AB95" s="287"/>
      <c r="AC95" s="287"/>
      <c r="AD95" s="287"/>
      <c r="AE95" s="287"/>
      <c r="AF95" s="287"/>
      <c r="AG95" s="284"/>
      <c r="AH95" s="284"/>
      <c r="AI95" s="283"/>
      <c r="AJ95" s="305"/>
      <c r="AK95" s="305"/>
      <c r="AL95" s="305"/>
      <c r="AM95" s="305"/>
      <c r="AN95" s="305"/>
      <c r="AO95" s="305"/>
      <c r="AP95" s="305"/>
      <c r="AQ95" s="305"/>
      <c r="AR95" s="305"/>
      <c r="AS95" s="305"/>
    </row>
    <row r="96" spans="1:45" s="306" customFormat="1" ht="39">
      <c r="A96" s="303" t="s">
        <v>331</v>
      </c>
      <c r="B96" s="304" t="s">
        <v>708</v>
      </c>
      <c r="C96" s="316" t="s">
        <v>797</v>
      </c>
      <c r="D96" s="284"/>
      <c r="E96" s="284"/>
      <c r="F96" s="284"/>
      <c r="G96" s="284"/>
      <c r="H96" s="284"/>
      <c r="I96" s="284"/>
      <c r="J96" s="284">
        <v>0.5</v>
      </c>
      <c r="K96" s="329">
        <f t="shared" si="6"/>
        <v>3.2710524938504217E-2</v>
      </c>
      <c r="L96" s="328">
        <v>0.5</v>
      </c>
      <c r="M96" s="284"/>
      <c r="N96" s="285"/>
      <c r="O96" s="284"/>
      <c r="P96" s="284"/>
      <c r="Q96" s="284"/>
      <c r="R96" s="287"/>
      <c r="S96" s="287"/>
      <c r="T96" s="286"/>
      <c r="U96" s="287"/>
      <c r="V96" s="287"/>
      <c r="W96" s="287"/>
      <c r="X96" s="287"/>
      <c r="Y96" s="287"/>
      <c r="Z96" s="287"/>
      <c r="AA96" s="287"/>
      <c r="AB96" s="287"/>
      <c r="AC96" s="287"/>
      <c r="AD96" s="287"/>
      <c r="AE96" s="287"/>
      <c r="AF96" s="287"/>
      <c r="AG96" s="284"/>
      <c r="AH96" s="284"/>
      <c r="AI96" s="283"/>
      <c r="AJ96" s="305"/>
      <c r="AK96" s="305"/>
      <c r="AL96" s="305"/>
      <c r="AM96" s="305"/>
      <c r="AN96" s="305"/>
      <c r="AO96" s="305"/>
      <c r="AP96" s="305"/>
      <c r="AQ96" s="305"/>
      <c r="AR96" s="305"/>
      <c r="AS96" s="305"/>
    </row>
    <row r="97" spans="1:45" s="306" customFormat="1" ht="23.25">
      <c r="A97" s="303" t="s">
        <v>333</v>
      </c>
      <c r="B97" s="304" t="s">
        <v>709</v>
      </c>
      <c r="C97" s="316" t="s">
        <v>797</v>
      </c>
      <c r="D97" s="284"/>
      <c r="E97" s="284"/>
      <c r="F97" s="284"/>
      <c r="G97" s="284"/>
      <c r="H97" s="284"/>
      <c r="I97" s="284"/>
      <c r="J97" s="284">
        <v>0.5</v>
      </c>
      <c r="K97" s="329">
        <f t="shared" si="6"/>
        <v>3.2710524938504217E-2</v>
      </c>
      <c r="L97" s="328">
        <v>0.5</v>
      </c>
      <c r="M97" s="284"/>
      <c r="N97" s="285"/>
      <c r="O97" s="284"/>
      <c r="P97" s="284"/>
      <c r="Q97" s="284"/>
      <c r="R97" s="287"/>
      <c r="S97" s="287"/>
      <c r="T97" s="286"/>
      <c r="U97" s="287"/>
      <c r="V97" s="287"/>
      <c r="W97" s="287"/>
      <c r="X97" s="287"/>
      <c r="Y97" s="287"/>
      <c r="Z97" s="287"/>
      <c r="AA97" s="287"/>
      <c r="AB97" s="287"/>
      <c r="AC97" s="287"/>
      <c r="AD97" s="287"/>
      <c r="AE97" s="287"/>
      <c r="AF97" s="287"/>
      <c r="AG97" s="284"/>
      <c r="AH97" s="284"/>
      <c r="AI97" s="283"/>
      <c r="AJ97" s="305"/>
      <c r="AK97" s="305"/>
      <c r="AL97" s="305"/>
      <c r="AM97" s="305"/>
      <c r="AN97" s="305"/>
      <c r="AO97" s="305"/>
      <c r="AP97" s="305"/>
      <c r="AQ97" s="305"/>
      <c r="AR97" s="305"/>
      <c r="AS97" s="305"/>
    </row>
    <row r="98" spans="1:45" s="306" customFormat="1" ht="23.25">
      <c r="A98" s="303" t="s">
        <v>335</v>
      </c>
      <c r="B98" s="304" t="s">
        <v>710</v>
      </c>
      <c r="C98" s="316" t="s">
        <v>797</v>
      </c>
      <c r="D98" s="284"/>
      <c r="E98" s="284"/>
      <c r="F98" s="284"/>
      <c r="G98" s="284"/>
      <c r="H98" s="284"/>
      <c r="I98" s="284"/>
      <c r="J98" s="284">
        <v>0.5</v>
      </c>
      <c r="K98" s="329">
        <f t="shared" si="6"/>
        <v>3.2710524938504217E-2</v>
      </c>
      <c r="L98" s="328">
        <v>0.5</v>
      </c>
      <c r="M98" s="284"/>
      <c r="N98" s="285"/>
      <c r="O98" s="284"/>
      <c r="P98" s="284"/>
      <c r="Q98" s="284"/>
      <c r="R98" s="287"/>
      <c r="S98" s="287"/>
      <c r="T98" s="286"/>
      <c r="U98" s="287"/>
      <c r="V98" s="287"/>
      <c r="W98" s="287"/>
      <c r="X98" s="287"/>
      <c r="Y98" s="287"/>
      <c r="Z98" s="287"/>
      <c r="AA98" s="287"/>
      <c r="AB98" s="287"/>
      <c r="AC98" s="287"/>
      <c r="AD98" s="287"/>
      <c r="AE98" s="287"/>
      <c r="AF98" s="287"/>
      <c r="AG98" s="284"/>
      <c r="AH98" s="284"/>
      <c r="AI98" s="283"/>
      <c r="AJ98" s="305"/>
      <c r="AK98" s="305"/>
      <c r="AL98" s="305"/>
      <c r="AM98" s="305"/>
      <c r="AN98" s="305"/>
      <c r="AO98" s="305"/>
      <c r="AP98" s="305"/>
      <c r="AQ98" s="305"/>
      <c r="AR98" s="305"/>
      <c r="AS98" s="305"/>
    </row>
    <row r="99" spans="1:45" s="306" customFormat="1" ht="39">
      <c r="A99" s="303" t="s">
        <v>337</v>
      </c>
      <c r="B99" s="304" t="s">
        <v>711</v>
      </c>
      <c r="C99" s="316" t="s">
        <v>797</v>
      </c>
      <c r="D99" s="284"/>
      <c r="E99" s="284"/>
      <c r="F99" s="284"/>
      <c r="G99" s="284"/>
      <c r="H99" s="284"/>
      <c r="I99" s="284"/>
      <c r="J99" s="284">
        <v>0.5</v>
      </c>
      <c r="K99" s="329">
        <f t="shared" si="6"/>
        <v>3.2710524938504217E-2</v>
      </c>
      <c r="L99" s="328">
        <v>0.5</v>
      </c>
      <c r="M99" s="284"/>
      <c r="N99" s="285"/>
      <c r="O99" s="284"/>
      <c r="P99" s="284"/>
      <c r="Q99" s="284"/>
      <c r="R99" s="287"/>
      <c r="S99" s="287"/>
      <c r="T99" s="286"/>
      <c r="U99" s="287"/>
      <c r="V99" s="287"/>
      <c r="W99" s="287"/>
      <c r="X99" s="287"/>
      <c r="Y99" s="287"/>
      <c r="Z99" s="287"/>
      <c r="AA99" s="287"/>
      <c r="AB99" s="287"/>
      <c r="AC99" s="287"/>
      <c r="AD99" s="287"/>
      <c r="AE99" s="287"/>
      <c r="AF99" s="287"/>
      <c r="AG99" s="284"/>
      <c r="AH99" s="284"/>
      <c r="AI99" s="283"/>
      <c r="AJ99" s="305"/>
      <c r="AK99" s="305"/>
      <c r="AL99" s="305"/>
      <c r="AM99" s="305"/>
      <c r="AN99" s="305"/>
      <c r="AO99" s="305"/>
      <c r="AP99" s="305"/>
      <c r="AQ99" s="305"/>
      <c r="AR99" s="305"/>
      <c r="AS99" s="305"/>
    </row>
    <row r="100" spans="1:45" s="306" customFormat="1" ht="39">
      <c r="A100" s="303" t="s">
        <v>339</v>
      </c>
      <c r="B100" s="304" t="s">
        <v>712</v>
      </c>
      <c r="C100" s="316" t="s">
        <v>797</v>
      </c>
      <c r="D100" s="284"/>
      <c r="E100" s="284"/>
      <c r="F100" s="284"/>
      <c r="G100" s="284"/>
      <c r="H100" s="284"/>
      <c r="I100" s="284"/>
      <c r="J100" s="284">
        <v>0.5</v>
      </c>
      <c r="K100" s="329">
        <f t="shared" si="6"/>
        <v>0.25187104202648247</v>
      </c>
      <c r="L100" s="328">
        <v>3.85</v>
      </c>
      <c r="M100" s="284"/>
      <c r="N100" s="285"/>
      <c r="O100" s="284"/>
      <c r="P100" s="284"/>
      <c r="Q100" s="284"/>
      <c r="R100" s="287"/>
      <c r="S100" s="287"/>
      <c r="T100" s="286"/>
      <c r="U100" s="287"/>
      <c r="V100" s="287"/>
      <c r="W100" s="287"/>
      <c r="X100" s="287"/>
      <c r="Y100" s="287"/>
      <c r="Z100" s="287"/>
      <c r="AA100" s="287"/>
      <c r="AB100" s="287"/>
      <c r="AC100" s="287"/>
      <c r="AD100" s="287"/>
      <c r="AE100" s="287"/>
      <c r="AF100" s="287"/>
      <c r="AG100" s="284"/>
      <c r="AH100" s="284"/>
      <c r="AI100" s="283"/>
      <c r="AJ100" s="305"/>
      <c r="AK100" s="305"/>
      <c r="AL100" s="305"/>
      <c r="AM100" s="305"/>
      <c r="AN100" s="305"/>
      <c r="AO100" s="305"/>
      <c r="AP100" s="305"/>
      <c r="AQ100" s="305"/>
      <c r="AR100" s="305"/>
      <c r="AS100" s="305"/>
    </row>
    <row r="101" spans="1:45" s="306" customFormat="1" ht="39">
      <c r="A101" s="303" t="s">
        <v>715</v>
      </c>
      <c r="B101" s="304" t="s">
        <v>713</v>
      </c>
      <c r="C101" s="316" t="s">
        <v>797</v>
      </c>
      <c r="D101" s="284"/>
      <c r="E101" s="284"/>
      <c r="F101" s="284"/>
      <c r="G101" s="284"/>
      <c r="H101" s="284"/>
      <c r="I101" s="284"/>
      <c r="J101" s="284">
        <v>1</v>
      </c>
      <c r="K101" s="329">
        <f t="shared" si="6"/>
        <v>0.32710524938504215</v>
      </c>
      <c r="L101" s="328">
        <v>5</v>
      </c>
      <c r="M101" s="284"/>
      <c r="N101" s="285"/>
      <c r="O101" s="284"/>
      <c r="P101" s="284"/>
      <c r="Q101" s="284"/>
      <c r="R101" s="287"/>
      <c r="S101" s="287"/>
      <c r="T101" s="286"/>
      <c r="U101" s="287"/>
      <c r="V101" s="287"/>
      <c r="W101" s="287"/>
      <c r="X101" s="287"/>
      <c r="Y101" s="287"/>
      <c r="Z101" s="287"/>
      <c r="AA101" s="287"/>
      <c r="AB101" s="287"/>
      <c r="AC101" s="287"/>
      <c r="AD101" s="287"/>
      <c r="AE101" s="287"/>
      <c r="AF101" s="287"/>
      <c r="AG101" s="284"/>
      <c r="AH101" s="284"/>
      <c r="AI101" s="283"/>
      <c r="AJ101" s="305"/>
      <c r="AK101" s="305"/>
      <c r="AL101" s="305"/>
      <c r="AM101" s="305"/>
      <c r="AN101" s="305"/>
      <c r="AO101" s="305"/>
      <c r="AP101" s="305"/>
      <c r="AQ101" s="305"/>
      <c r="AR101" s="305"/>
      <c r="AS101" s="305"/>
    </row>
    <row r="102" spans="1:45" s="306" customFormat="1" ht="39">
      <c r="A102" s="303" t="s">
        <v>343</v>
      </c>
      <c r="B102" s="304" t="s">
        <v>714</v>
      </c>
      <c r="C102" s="316" t="s">
        <v>797</v>
      </c>
      <c r="D102" s="284"/>
      <c r="E102" s="284"/>
      <c r="F102" s="284"/>
      <c r="G102" s="284"/>
      <c r="H102" s="284"/>
      <c r="I102" s="284"/>
      <c r="J102" s="284">
        <v>1</v>
      </c>
      <c r="K102" s="329">
        <f t="shared" si="6"/>
        <v>6.5421049877008433E-2</v>
      </c>
      <c r="L102" s="328">
        <v>1</v>
      </c>
      <c r="M102" s="284"/>
      <c r="N102" s="285"/>
      <c r="O102" s="284"/>
      <c r="P102" s="284"/>
      <c r="Q102" s="284"/>
      <c r="R102" s="287"/>
      <c r="S102" s="287"/>
      <c r="T102" s="286"/>
      <c r="U102" s="287"/>
      <c r="V102" s="287"/>
      <c r="W102" s="287"/>
      <c r="X102" s="287"/>
      <c r="Y102" s="287"/>
      <c r="Z102" s="287"/>
      <c r="AA102" s="287"/>
      <c r="AB102" s="287"/>
      <c r="AC102" s="287"/>
      <c r="AD102" s="287"/>
      <c r="AE102" s="287"/>
      <c r="AF102" s="287"/>
      <c r="AG102" s="284"/>
      <c r="AH102" s="284"/>
      <c r="AI102" s="283"/>
      <c r="AJ102" s="305"/>
      <c r="AK102" s="305"/>
      <c r="AL102" s="305"/>
      <c r="AM102" s="305"/>
      <c r="AN102" s="305"/>
      <c r="AO102" s="305"/>
      <c r="AP102" s="305"/>
      <c r="AQ102" s="305"/>
      <c r="AR102" s="305"/>
      <c r="AS102" s="305"/>
    </row>
    <row r="103" spans="1:45" s="306" customFormat="1" ht="39">
      <c r="A103" s="303" t="s">
        <v>716</v>
      </c>
      <c r="B103" s="304" t="s">
        <v>717</v>
      </c>
      <c r="C103" s="316" t="s">
        <v>797</v>
      </c>
      <c r="D103" s="284"/>
      <c r="E103" s="284"/>
      <c r="F103" s="284"/>
      <c r="G103" s="284"/>
      <c r="H103" s="284"/>
      <c r="I103" s="284"/>
      <c r="J103" s="284">
        <v>1</v>
      </c>
      <c r="K103" s="329">
        <f t="shared" si="6"/>
        <v>0.32710524938504215</v>
      </c>
      <c r="L103" s="328">
        <v>5</v>
      </c>
      <c r="M103" s="284"/>
      <c r="N103" s="285"/>
      <c r="O103" s="284"/>
      <c r="P103" s="284"/>
      <c r="Q103" s="284"/>
      <c r="R103" s="287"/>
      <c r="S103" s="287"/>
      <c r="T103" s="286"/>
      <c r="U103" s="287"/>
      <c r="V103" s="287"/>
      <c r="W103" s="287"/>
      <c r="X103" s="287"/>
      <c r="Y103" s="287"/>
      <c r="Z103" s="287"/>
      <c r="AA103" s="287"/>
      <c r="AB103" s="287"/>
      <c r="AC103" s="287"/>
      <c r="AD103" s="287"/>
      <c r="AE103" s="287"/>
      <c r="AF103" s="287"/>
      <c r="AG103" s="284"/>
      <c r="AH103" s="284"/>
      <c r="AI103" s="283"/>
      <c r="AJ103" s="305"/>
      <c r="AK103" s="305"/>
      <c r="AL103" s="305"/>
      <c r="AM103" s="305"/>
      <c r="AN103" s="305"/>
      <c r="AO103" s="305"/>
      <c r="AP103" s="305"/>
      <c r="AQ103" s="305"/>
      <c r="AR103" s="305"/>
      <c r="AS103" s="305"/>
    </row>
    <row r="104" spans="1:45" s="306" customFormat="1" ht="24" customHeight="1">
      <c r="A104" s="303" t="s">
        <v>718</v>
      </c>
      <c r="B104" s="304" t="s">
        <v>719</v>
      </c>
      <c r="C104" s="316" t="s">
        <v>797</v>
      </c>
      <c r="D104" s="284"/>
      <c r="E104" s="284"/>
      <c r="F104" s="284"/>
      <c r="G104" s="284"/>
      <c r="H104" s="284"/>
      <c r="I104" s="284"/>
      <c r="J104" s="284">
        <v>1</v>
      </c>
      <c r="K104" s="329">
        <f t="shared" si="6"/>
        <v>0.32710524938504215</v>
      </c>
      <c r="L104" s="328">
        <v>5</v>
      </c>
      <c r="M104" s="284"/>
      <c r="N104" s="285"/>
      <c r="O104" s="284"/>
      <c r="P104" s="284"/>
      <c r="Q104" s="284"/>
      <c r="R104" s="287"/>
      <c r="S104" s="287"/>
      <c r="T104" s="286"/>
      <c r="U104" s="287"/>
      <c r="V104" s="287"/>
      <c r="W104" s="287"/>
      <c r="X104" s="287"/>
      <c r="Y104" s="287"/>
      <c r="Z104" s="287"/>
      <c r="AA104" s="287"/>
      <c r="AB104" s="287"/>
      <c r="AC104" s="287"/>
      <c r="AD104" s="287"/>
      <c r="AE104" s="287"/>
      <c r="AF104" s="287"/>
      <c r="AG104" s="284"/>
      <c r="AH104" s="284"/>
      <c r="AI104" s="283"/>
      <c r="AJ104" s="305"/>
      <c r="AK104" s="305"/>
      <c r="AL104" s="305"/>
      <c r="AM104" s="305"/>
      <c r="AN104" s="305"/>
      <c r="AO104" s="305"/>
      <c r="AP104" s="305"/>
      <c r="AQ104" s="305"/>
      <c r="AR104" s="305"/>
      <c r="AS104" s="305"/>
    </row>
    <row r="105" spans="1:45" s="306" customFormat="1" ht="23.25">
      <c r="A105" s="303" t="s">
        <v>345</v>
      </c>
      <c r="B105" s="304" t="s">
        <v>720</v>
      </c>
      <c r="C105" s="316" t="s">
        <v>797</v>
      </c>
      <c r="D105" s="284"/>
      <c r="E105" s="284"/>
      <c r="F105" s="284"/>
      <c r="G105" s="284"/>
      <c r="H105" s="284"/>
      <c r="I105" s="284"/>
      <c r="J105" s="284">
        <v>0.1</v>
      </c>
      <c r="K105" s="329">
        <f t="shared" si="6"/>
        <v>6.542104987700843E-3</v>
      </c>
      <c r="L105" s="328">
        <v>0.1</v>
      </c>
      <c r="M105" s="284"/>
      <c r="N105" s="285"/>
      <c r="O105" s="284"/>
      <c r="P105" s="284"/>
      <c r="Q105" s="284"/>
      <c r="R105" s="287"/>
      <c r="S105" s="287"/>
      <c r="T105" s="286"/>
      <c r="U105" s="287"/>
      <c r="V105" s="287"/>
      <c r="W105" s="287"/>
      <c r="X105" s="287"/>
      <c r="Y105" s="287"/>
      <c r="Z105" s="287"/>
      <c r="AA105" s="287"/>
      <c r="AB105" s="287"/>
      <c r="AC105" s="287"/>
      <c r="AD105" s="287"/>
      <c r="AE105" s="287"/>
      <c r="AF105" s="287"/>
      <c r="AG105" s="284"/>
      <c r="AH105" s="284"/>
      <c r="AI105" s="283"/>
      <c r="AJ105" s="305"/>
      <c r="AK105" s="305"/>
      <c r="AL105" s="305"/>
      <c r="AM105" s="305"/>
      <c r="AN105" s="305"/>
      <c r="AO105" s="305"/>
      <c r="AP105" s="305"/>
      <c r="AQ105" s="305"/>
      <c r="AR105" s="305"/>
      <c r="AS105" s="305"/>
    </row>
    <row r="106" spans="1:45" s="306" customFormat="1" ht="39">
      <c r="A106" s="303" t="s">
        <v>347</v>
      </c>
      <c r="B106" s="304" t="s">
        <v>721</v>
      </c>
      <c r="C106" s="316" t="s">
        <v>797</v>
      </c>
      <c r="D106" s="284"/>
      <c r="E106" s="284"/>
      <c r="F106" s="284"/>
      <c r="G106" s="284"/>
      <c r="H106" s="284"/>
      <c r="I106" s="284"/>
      <c r="J106" s="284">
        <v>1</v>
      </c>
      <c r="K106" s="329">
        <f t="shared" si="6"/>
        <v>6.5421049877008433E-2</v>
      </c>
      <c r="L106" s="328">
        <v>1</v>
      </c>
      <c r="M106" s="284"/>
      <c r="N106" s="285"/>
      <c r="O106" s="284"/>
      <c r="P106" s="284"/>
      <c r="Q106" s="284"/>
      <c r="R106" s="287"/>
      <c r="S106" s="287"/>
      <c r="T106" s="286"/>
      <c r="U106" s="287"/>
      <c r="V106" s="287"/>
      <c r="W106" s="287"/>
      <c r="X106" s="287"/>
      <c r="Y106" s="287"/>
      <c r="Z106" s="287"/>
      <c r="AA106" s="287"/>
      <c r="AB106" s="287"/>
      <c r="AC106" s="287"/>
      <c r="AD106" s="287"/>
      <c r="AE106" s="287"/>
      <c r="AF106" s="287"/>
      <c r="AG106" s="284"/>
      <c r="AH106" s="284"/>
      <c r="AI106" s="283"/>
      <c r="AJ106" s="305"/>
      <c r="AK106" s="305"/>
      <c r="AL106" s="305"/>
      <c r="AM106" s="305"/>
      <c r="AN106" s="305"/>
      <c r="AO106" s="305"/>
      <c r="AP106" s="305"/>
      <c r="AQ106" s="305"/>
      <c r="AR106" s="305"/>
      <c r="AS106" s="305"/>
    </row>
    <row r="107" spans="1:45" s="306" customFormat="1" ht="39">
      <c r="A107" s="303" t="s">
        <v>349</v>
      </c>
      <c r="B107" s="304" t="s">
        <v>722</v>
      </c>
      <c r="C107" s="316" t="s">
        <v>797</v>
      </c>
      <c r="D107" s="284"/>
      <c r="E107" s="284"/>
      <c r="F107" s="284"/>
      <c r="G107" s="284"/>
      <c r="H107" s="284"/>
      <c r="I107" s="284"/>
      <c r="J107" s="284">
        <v>1</v>
      </c>
      <c r="K107" s="329">
        <f t="shared" si="6"/>
        <v>6.5421049877008433E-2</v>
      </c>
      <c r="L107" s="328">
        <v>1</v>
      </c>
      <c r="M107" s="284"/>
      <c r="N107" s="285"/>
      <c r="O107" s="284"/>
      <c r="P107" s="284"/>
      <c r="Q107" s="284"/>
      <c r="R107" s="287"/>
      <c r="S107" s="287"/>
      <c r="T107" s="286"/>
      <c r="U107" s="287"/>
      <c r="V107" s="287"/>
      <c r="W107" s="287"/>
      <c r="X107" s="287"/>
      <c r="Y107" s="287"/>
      <c r="Z107" s="287"/>
      <c r="AA107" s="287"/>
      <c r="AB107" s="287"/>
      <c r="AC107" s="287"/>
      <c r="AD107" s="287"/>
      <c r="AE107" s="287"/>
      <c r="AF107" s="287"/>
      <c r="AG107" s="284"/>
      <c r="AH107" s="284"/>
      <c r="AI107" s="283"/>
      <c r="AJ107" s="305"/>
      <c r="AK107" s="305"/>
      <c r="AL107" s="305"/>
      <c r="AM107" s="305"/>
      <c r="AN107" s="305"/>
      <c r="AO107" s="305"/>
      <c r="AP107" s="305"/>
      <c r="AQ107" s="305"/>
      <c r="AR107" s="305"/>
      <c r="AS107" s="305"/>
    </row>
    <row r="108" spans="1:45" s="306" customFormat="1" ht="39">
      <c r="A108" s="303" t="s">
        <v>351</v>
      </c>
      <c r="B108" s="304" t="s">
        <v>723</v>
      </c>
      <c r="C108" s="316" t="s">
        <v>797</v>
      </c>
      <c r="D108" s="284"/>
      <c r="E108" s="284"/>
      <c r="F108" s="284"/>
      <c r="G108" s="284"/>
      <c r="H108" s="284"/>
      <c r="I108" s="284"/>
      <c r="J108" s="284">
        <v>5.55</v>
      </c>
      <c r="K108" s="329">
        <f t="shared" si="6"/>
        <v>0.36308682681739674</v>
      </c>
      <c r="L108" s="328">
        <v>5.55</v>
      </c>
      <c r="M108" s="284"/>
      <c r="N108" s="285"/>
      <c r="O108" s="284"/>
      <c r="P108" s="284"/>
      <c r="Q108" s="284"/>
      <c r="R108" s="287"/>
      <c r="S108" s="287"/>
      <c r="T108" s="286"/>
      <c r="U108" s="287"/>
      <c r="V108" s="287"/>
      <c r="W108" s="287"/>
      <c r="X108" s="287"/>
      <c r="Y108" s="287"/>
      <c r="Z108" s="287"/>
      <c r="AA108" s="287"/>
      <c r="AB108" s="287"/>
      <c r="AC108" s="287"/>
      <c r="AD108" s="287"/>
      <c r="AE108" s="287"/>
      <c r="AF108" s="287"/>
      <c r="AG108" s="284"/>
      <c r="AH108" s="284"/>
      <c r="AI108" s="283"/>
      <c r="AJ108" s="305"/>
      <c r="AK108" s="305"/>
      <c r="AL108" s="305"/>
      <c r="AM108" s="305"/>
      <c r="AN108" s="305"/>
      <c r="AO108" s="305"/>
      <c r="AP108" s="305"/>
      <c r="AQ108" s="305"/>
      <c r="AR108" s="305"/>
      <c r="AS108" s="305"/>
    </row>
    <row r="109" spans="1:45" s="306" customFormat="1" ht="39">
      <c r="A109" s="303" t="s">
        <v>353</v>
      </c>
      <c r="B109" s="304" t="s">
        <v>724</v>
      </c>
      <c r="C109" s="316" t="s">
        <v>797</v>
      </c>
      <c r="D109" s="284"/>
      <c r="E109" s="284"/>
      <c r="F109" s="284"/>
      <c r="G109" s="284"/>
      <c r="H109" s="284"/>
      <c r="I109" s="284"/>
      <c r="J109" s="284">
        <v>1</v>
      </c>
      <c r="K109" s="329">
        <f t="shared" si="6"/>
        <v>6.5421049877008433E-2</v>
      </c>
      <c r="L109" s="328">
        <v>1</v>
      </c>
      <c r="M109" s="284"/>
      <c r="N109" s="285"/>
      <c r="O109" s="284"/>
      <c r="P109" s="284"/>
      <c r="Q109" s="284"/>
      <c r="R109" s="287"/>
      <c r="S109" s="287"/>
      <c r="T109" s="286"/>
      <c r="U109" s="287"/>
      <c r="V109" s="287"/>
      <c r="W109" s="287"/>
      <c r="X109" s="287"/>
      <c r="Y109" s="287"/>
      <c r="Z109" s="287"/>
      <c r="AA109" s="287"/>
      <c r="AB109" s="287"/>
      <c r="AC109" s="287"/>
      <c r="AD109" s="287"/>
      <c r="AE109" s="287"/>
      <c r="AF109" s="287"/>
      <c r="AG109" s="284"/>
      <c r="AH109" s="284"/>
      <c r="AI109" s="283"/>
      <c r="AJ109" s="305"/>
      <c r="AK109" s="305"/>
      <c r="AL109" s="305"/>
      <c r="AM109" s="305"/>
      <c r="AN109" s="305"/>
      <c r="AO109" s="305"/>
      <c r="AP109" s="305"/>
      <c r="AQ109" s="305"/>
      <c r="AR109" s="305"/>
      <c r="AS109" s="305"/>
    </row>
    <row r="110" spans="1:45" s="306" customFormat="1" ht="39">
      <c r="A110" s="303" t="s">
        <v>355</v>
      </c>
      <c r="B110" s="304" t="s">
        <v>725</v>
      </c>
      <c r="C110" s="316" t="s">
        <v>797</v>
      </c>
      <c r="D110" s="284"/>
      <c r="E110" s="284"/>
      <c r="F110" s="284"/>
      <c r="G110" s="284"/>
      <c r="H110" s="284"/>
      <c r="I110" s="284"/>
      <c r="J110" s="284">
        <v>1</v>
      </c>
      <c r="K110" s="329">
        <f t="shared" si="6"/>
        <v>6.5421049877008433E-2</v>
      </c>
      <c r="L110" s="328">
        <v>1</v>
      </c>
      <c r="M110" s="284"/>
      <c r="N110" s="285"/>
      <c r="O110" s="284"/>
      <c r="P110" s="284"/>
      <c r="Q110" s="284"/>
      <c r="R110" s="287"/>
      <c r="S110" s="287"/>
      <c r="T110" s="286"/>
      <c r="U110" s="287"/>
      <c r="V110" s="287"/>
      <c r="W110" s="287"/>
      <c r="X110" s="287"/>
      <c r="Y110" s="287"/>
      <c r="Z110" s="287"/>
      <c r="AA110" s="287"/>
      <c r="AB110" s="287"/>
      <c r="AC110" s="287"/>
      <c r="AD110" s="287"/>
      <c r="AE110" s="287"/>
      <c r="AF110" s="287"/>
      <c r="AG110" s="284"/>
      <c r="AH110" s="284"/>
      <c r="AI110" s="283"/>
      <c r="AJ110" s="305"/>
      <c r="AK110" s="305"/>
      <c r="AL110" s="305"/>
      <c r="AM110" s="305"/>
      <c r="AN110" s="305"/>
      <c r="AO110" s="305"/>
      <c r="AP110" s="305"/>
      <c r="AQ110" s="305"/>
      <c r="AR110" s="305"/>
      <c r="AS110" s="305"/>
    </row>
    <row r="111" spans="1:45" s="306" customFormat="1" ht="39">
      <c r="A111" s="303" t="s">
        <v>357</v>
      </c>
      <c r="B111" s="304" t="s">
        <v>726</v>
      </c>
      <c r="C111" s="316" t="s">
        <v>797</v>
      </c>
      <c r="D111" s="284"/>
      <c r="E111" s="284"/>
      <c r="F111" s="284"/>
      <c r="G111" s="284"/>
      <c r="H111" s="284"/>
      <c r="I111" s="284"/>
      <c r="J111" s="284">
        <v>1</v>
      </c>
      <c r="K111" s="329">
        <f t="shared" si="6"/>
        <v>6.5421049877008433E-2</v>
      </c>
      <c r="L111" s="328">
        <v>1</v>
      </c>
      <c r="M111" s="284"/>
      <c r="N111" s="285"/>
      <c r="O111" s="284"/>
      <c r="P111" s="284"/>
      <c r="Q111" s="284"/>
      <c r="R111" s="287"/>
      <c r="S111" s="287"/>
      <c r="T111" s="286"/>
      <c r="U111" s="287"/>
      <c r="V111" s="287"/>
      <c r="W111" s="287"/>
      <c r="X111" s="287"/>
      <c r="Y111" s="287"/>
      <c r="Z111" s="287"/>
      <c r="AA111" s="287"/>
      <c r="AB111" s="287"/>
      <c r="AC111" s="287"/>
      <c r="AD111" s="287"/>
      <c r="AE111" s="287"/>
      <c r="AF111" s="287"/>
      <c r="AG111" s="284"/>
      <c r="AH111" s="284"/>
      <c r="AI111" s="283"/>
      <c r="AJ111" s="305"/>
      <c r="AK111" s="305"/>
      <c r="AL111" s="305"/>
      <c r="AM111" s="305"/>
      <c r="AN111" s="305"/>
      <c r="AO111" s="305"/>
      <c r="AP111" s="305"/>
      <c r="AQ111" s="305"/>
      <c r="AR111" s="305"/>
      <c r="AS111" s="305"/>
    </row>
    <row r="112" spans="1:45" s="306" customFormat="1" ht="39">
      <c r="A112" s="303" t="s">
        <v>359</v>
      </c>
      <c r="B112" s="304" t="s">
        <v>727</v>
      </c>
      <c r="C112" s="316" t="s">
        <v>797</v>
      </c>
      <c r="D112" s="284"/>
      <c r="E112" s="284"/>
      <c r="F112" s="284"/>
      <c r="G112" s="284"/>
      <c r="H112" s="284"/>
      <c r="I112" s="284"/>
      <c r="J112" s="284">
        <v>5</v>
      </c>
      <c r="K112" s="329">
        <f t="shared" si="6"/>
        <v>0.32710524938504215</v>
      </c>
      <c r="L112" s="328">
        <v>5</v>
      </c>
      <c r="M112" s="284"/>
      <c r="N112" s="285"/>
      <c r="O112" s="284"/>
      <c r="P112" s="284"/>
      <c r="Q112" s="284"/>
      <c r="R112" s="287"/>
      <c r="S112" s="287"/>
      <c r="T112" s="286"/>
      <c r="U112" s="287"/>
      <c r="V112" s="287"/>
      <c r="W112" s="287"/>
      <c r="X112" s="287"/>
      <c r="Y112" s="287"/>
      <c r="Z112" s="287"/>
      <c r="AA112" s="287"/>
      <c r="AB112" s="287"/>
      <c r="AC112" s="287"/>
      <c r="AD112" s="287"/>
      <c r="AE112" s="287"/>
      <c r="AF112" s="287"/>
      <c r="AG112" s="284"/>
      <c r="AH112" s="284"/>
      <c r="AI112" s="283"/>
      <c r="AJ112" s="305"/>
      <c r="AK112" s="305"/>
      <c r="AL112" s="305"/>
      <c r="AM112" s="305"/>
      <c r="AN112" s="305"/>
      <c r="AO112" s="305"/>
      <c r="AP112" s="305"/>
      <c r="AQ112" s="305"/>
      <c r="AR112" s="305"/>
      <c r="AS112" s="305"/>
    </row>
    <row r="113" spans="1:45" s="306" customFormat="1" ht="39">
      <c r="A113" s="303" t="s">
        <v>361</v>
      </c>
      <c r="B113" s="304" t="s">
        <v>728</v>
      </c>
      <c r="C113" s="316" t="s">
        <v>797</v>
      </c>
      <c r="D113" s="284"/>
      <c r="E113" s="284"/>
      <c r="F113" s="284"/>
      <c r="G113" s="284"/>
      <c r="H113" s="284"/>
      <c r="I113" s="284"/>
      <c r="J113" s="284">
        <v>0.5</v>
      </c>
      <c r="K113" s="329">
        <f t="shared" si="6"/>
        <v>0.22897367456952952</v>
      </c>
      <c r="L113" s="328">
        <v>3.5</v>
      </c>
      <c r="M113" s="284"/>
      <c r="N113" s="285"/>
      <c r="O113" s="284"/>
      <c r="P113" s="284"/>
      <c r="Q113" s="284"/>
      <c r="R113" s="287"/>
      <c r="S113" s="287"/>
      <c r="T113" s="286"/>
      <c r="U113" s="287"/>
      <c r="V113" s="287"/>
      <c r="W113" s="287"/>
      <c r="X113" s="287"/>
      <c r="Y113" s="287"/>
      <c r="Z113" s="287"/>
      <c r="AA113" s="287"/>
      <c r="AB113" s="287"/>
      <c r="AC113" s="287"/>
      <c r="AD113" s="287"/>
      <c r="AE113" s="287"/>
      <c r="AF113" s="287"/>
      <c r="AG113" s="284"/>
      <c r="AH113" s="284"/>
      <c r="AI113" s="283"/>
      <c r="AJ113" s="305"/>
      <c r="AK113" s="305"/>
      <c r="AL113" s="305"/>
      <c r="AM113" s="305"/>
      <c r="AN113" s="305"/>
      <c r="AO113" s="305"/>
      <c r="AP113" s="305"/>
      <c r="AQ113" s="305"/>
      <c r="AR113" s="305"/>
      <c r="AS113" s="305"/>
    </row>
    <row r="114" spans="1:45" s="306" customFormat="1" ht="39">
      <c r="A114" s="303" t="s">
        <v>363</v>
      </c>
      <c r="B114" s="304" t="s">
        <v>729</v>
      </c>
      <c r="C114" s="316" t="s">
        <v>797</v>
      </c>
      <c r="D114" s="284"/>
      <c r="E114" s="284"/>
      <c r="F114" s="284"/>
      <c r="G114" s="284"/>
      <c r="H114" s="284"/>
      <c r="I114" s="284"/>
      <c r="J114" s="284">
        <v>5</v>
      </c>
      <c r="K114" s="329">
        <f t="shared" si="6"/>
        <v>0.32710524938504215</v>
      </c>
      <c r="L114" s="328">
        <v>5</v>
      </c>
      <c r="M114" s="284"/>
      <c r="N114" s="285"/>
      <c r="O114" s="284"/>
      <c r="P114" s="284"/>
      <c r="Q114" s="284"/>
      <c r="R114" s="287"/>
      <c r="S114" s="287"/>
      <c r="T114" s="286"/>
      <c r="U114" s="287"/>
      <c r="V114" s="287"/>
      <c r="W114" s="287"/>
      <c r="X114" s="287"/>
      <c r="Y114" s="287"/>
      <c r="Z114" s="287"/>
      <c r="AA114" s="287"/>
      <c r="AB114" s="287"/>
      <c r="AC114" s="287"/>
      <c r="AD114" s="287"/>
      <c r="AE114" s="287"/>
      <c r="AF114" s="287"/>
      <c r="AG114" s="284"/>
      <c r="AH114" s="284"/>
      <c r="AI114" s="283"/>
      <c r="AJ114" s="305"/>
      <c r="AK114" s="305"/>
      <c r="AL114" s="305"/>
      <c r="AM114" s="305"/>
      <c r="AN114" s="305"/>
      <c r="AO114" s="305"/>
      <c r="AP114" s="305"/>
      <c r="AQ114" s="305"/>
      <c r="AR114" s="305"/>
      <c r="AS114" s="305"/>
    </row>
    <row r="115" spans="1:45" s="306" customFormat="1" ht="39">
      <c r="A115" s="303" t="s">
        <v>365</v>
      </c>
      <c r="B115" s="304" t="s">
        <v>730</v>
      </c>
      <c r="C115" s="316" t="s">
        <v>797</v>
      </c>
      <c r="D115" s="284"/>
      <c r="E115" s="284"/>
      <c r="F115" s="284"/>
      <c r="G115" s="284"/>
      <c r="H115" s="284"/>
      <c r="I115" s="284"/>
      <c r="J115" s="284">
        <v>1</v>
      </c>
      <c r="K115" s="329">
        <f t="shared" si="6"/>
        <v>6.5421049877008433E-2</v>
      </c>
      <c r="L115" s="328">
        <v>1</v>
      </c>
      <c r="M115" s="284"/>
      <c r="N115" s="285"/>
      <c r="O115" s="284"/>
      <c r="P115" s="284"/>
      <c r="Q115" s="284"/>
      <c r="R115" s="287"/>
      <c r="S115" s="287"/>
      <c r="T115" s="286"/>
      <c r="U115" s="287"/>
      <c r="V115" s="287"/>
      <c r="W115" s="287"/>
      <c r="X115" s="287"/>
      <c r="Y115" s="287"/>
      <c r="Z115" s="287"/>
      <c r="AA115" s="287"/>
      <c r="AB115" s="287"/>
      <c r="AC115" s="287"/>
      <c r="AD115" s="287"/>
      <c r="AE115" s="287"/>
      <c r="AF115" s="287"/>
      <c r="AG115" s="284"/>
      <c r="AH115" s="284"/>
      <c r="AI115" s="283"/>
      <c r="AJ115" s="305"/>
      <c r="AK115" s="305"/>
      <c r="AL115" s="305"/>
      <c r="AM115" s="305"/>
      <c r="AN115" s="305"/>
      <c r="AO115" s="305"/>
      <c r="AP115" s="305"/>
      <c r="AQ115" s="305"/>
      <c r="AR115" s="305"/>
      <c r="AS115" s="305"/>
    </row>
    <row r="116" spans="1:45" s="306" customFormat="1" ht="39">
      <c r="A116" s="303" t="s">
        <v>367</v>
      </c>
      <c r="B116" s="304" t="s">
        <v>731</v>
      </c>
      <c r="C116" s="316" t="s">
        <v>797</v>
      </c>
      <c r="D116" s="284"/>
      <c r="E116" s="284"/>
      <c r="F116" s="284"/>
      <c r="G116" s="284"/>
      <c r="H116" s="284"/>
      <c r="I116" s="284"/>
      <c r="J116" s="284">
        <v>0.5</v>
      </c>
      <c r="K116" s="329">
        <f t="shared" si="6"/>
        <v>0.22897367456952952</v>
      </c>
      <c r="L116" s="328">
        <v>3.5</v>
      </c>
      <c r="M116" s="284"/>
      <c r="N116" s="285"/>
      <c r="O116" s="284"/>
      <c r="P116" s="284"/>
      <c r="Q116" s="284"/>
      <c r="R116" s="287"/>
      <c r="S116" s="287"/>
      <c r="T116" s="286"/>
      <c r="U116" s="287"/>
      <c r="V116" s="287"/>
      <c r="W116" s="287"/>
      <c r="X116" s="287"/>
      <c r="Y116" s="287"/>
      <c r="Z116" s="287"/>
      <c r="AA116" s="287"/>
      <c r="AB116" s="287"/>
      <c r="AC116" s="287"/>
      <c r="AD116" s="287"/>
      <c r="AE116" s="287"/>
      <c r="AF116" s="287"/>
      <c r="AG116" s="284"/>
      <c r="AH116" s="284"/>
      <c r="AI116" s="283"/>
      <c r="AJ116" s="305"/>
      <c r="AK116" s="305"/>
      <c r="AL116" s="305"/>
      <c r="AM116" s="305"/>
      <c r="AN116" s="305"/>
      <c r="AO116" s="305"/>
      <c r="AP116" s="305"/>
      <c r="AQ116" s="305"/>
      <c r="AR116" s="305"/>
      <c r="AS116" s="305"/>
    </row>
    <row r="117" spans="1:45" s="306" customFormat="1" ht="39">
      <c r="A117" s="303" t="s">
        <v>369</v>
      </c>
      <c r="B117" s="304" t="s">
        <v>732</v>
      </c>
      <c r="C117" s="316" t="s">
        <v>797</v>
      </c>
      <c r="D117" s="284"/>
      <c r="E117" s="284"/>
      <c r="F117" s="284"/>
      <c r="G117" s="284"/>
      <c r="H117" s="284"/>
      <c r="I117" s="284"/>
      <c r="J117" s="284">
        <v>1</v>
      </c>
      <c r="K117" s="329">
        <f t="shared" si="6"/>
        <v>6.5421049877008433E-2</v>
      </c>
      <c r="L117" s="328">
        <v>1</v>
      </c>
      <c r="M117" s="284"/>
      <c r="N117" s="285"/>
      <c r="O117" s="284"/>
      <c r="P117" s="284"/>
      <c r="Q117" s="284"/>
      <c r="R117" s="287"/>
      <c r="S117" s="287"/>
      <c r="T117" s="286"/>
      <c r="U117" s="287"/>
      <c r="V117" s="287"/>
      <c r="W117" s="287"/>
      <c r="X117" s="287"/>
      <c r="Y117" s="287"/>
      <c r="Z117" s="287"/>
      <c r="AA117" s="287"/>
      <c r="AB117" s="287"/>
      <c r="AC117" s="287"/>
      <c r="AD117" s="287"/>
      <c r="AE117" s="287"/>
      <c r="AF117" s="287"/>
      <c r="AG117" s="284"/>
      <c r="AH117" s="284"/>
      <c r="AI117" s="283"/>
      <c r="AJ117" s="305"/>
      <c r="AK117" s="305"/>
      <c r="AL117" s="305"/>
      <c r="AM117" s="305"/>
      <c r="AN117" s="305"/>
      <c r="AO117" s="305"/>
      <c r="AP117" s="305"/>
      <c r="AQ117" s="305"/>
      <c r="AR117" s="305"/>
      <c r="AS117" s="305"/>
    </row>
    <row r="118" spans="1:45" s="306" customFormat="1" ht="39">
      <c r="A118" s="303" t="s">
        <v>371</v>
      </c>
      <c r="B118" s="304" t="s">
        <v>733</v>
      </c>
      <c r="C118" s="316" t="s">
        <v>797</v>
      </c>
      <c r="D118" s="284"/>
      <c r="E118" s="284"/>
      <c r="F118" s="284"/>
      <c r="G118" s="284"/>
      <c r="H118" s="284"/>
      <c r="I118" s="284"/>
      <c r="J118" s="284">
        <v>2</v>
      </c>
      <c r="K118" s="329">
        <f t="shared" si="6"/>
        <v>0.13084209975401687</v>
      </c>
      <c r="L118" s="328">
        <v>2</v>
      </c>
      <c r="M118" s="284"/>
      <c r="N118" s="285"/>
      <c r="O118" s="284"/>
      <c r="P118" s="284"/>
      <c r="Q118" s="284"/>
      <c r="R118" s="287"/>
      <c r="S118" s="287"/>
      <c r="T118" s="286"/>
      <c r="U118" s="287"/>
      <c r="V118" s="287"/>
      <c r="W118" s="287"/>
      <c r="X118" s="287"/>
      <c r="Y118" s="287"/>
      <c r="Z118" s="287"/>
      <c r="AA118" s="287"/>
      <c r="AB118" s="287"/>
      <c r="AC118" s="287"/>
      <c r="AD118" s="287"/>
      <c r="AE118" s="287"/>
      <c r="AF118" s="287"/>
      <c r="AG118" s="284"/>
      <c r="AH118" s="284"/>
      <c r="AI118" s="283"/>
      <c r="AJ118" s="305"/>
      <c r="AK118" s="305"/>
      <c r="AL118" s="305"/>
      <c r="AM118" s="305"/>
      <c r="AN118" s="305"/>
      <c r="AO118" s="305"/>
      <c r="AP118" s="305"/>
      <c r="AQ118" s="305"/>
      <c r="AR118" s="305"/>
      <c r="AS118" s="305"/>
    </row>
    <row r="119" spans="1:45" s="306" customFormat="1" ht="39">
      <c r="A119" s="303" t="s">
        <v>373</v>
      </c>
      <c r="B119" s="304" t="s">
        <v>734</v>
      </c>
      <c r="C119" s="316" t="s">
        <v>797</v>
      </c>
      <c r="D119" s="284"/>
      <c r="E119" s="284"/>
      <c r="F119" s="284"/>
      <c r="G119" s="284"/>
      <c r="H119" s="284"/>
      <c r="I119" s="284"/>
      <c r="J119" s="284">
        <v>0.5</v>
      </c>
      <c r="K119" s="329">
        <f t="shared" si="6"/>
        <v>0.22897367456952952</v>
      </c>
      <c r="L119" s="328">
        <v>3.5</v>
      </c>
      <c r="M119" s="284"/>
      <c r="N119" s="285"/>
      <c r="O119" s="284"/>
      <c r="P119" s="284"/>
      <c r="Q119" s="284"/>
      <c r="R119" s="287"/>
      <c r="S119" s="287"/>
      <c r="T119" s="286"/>
      <c r="U119" s="287"/>
      <c r="V119" s="287"/>
      <c r="W119" s="287"/>
      <c r="X119" s="287"/>
      <c r="Y119" s="287"/>
      <c r="Z119" s="287"/>
      <c r="AA119" s="287"/>
      <c r="AB119" s="287"/>
      <c r="AC119" s="287"/>
      <c r="AD119" s="287"/>
      <c r="AE119" s="287"/>
      <c r="AF119" s="287"/>
      <c r="AG119" s="284"/>
      <c r="AH119" s="284"/>
      <c r="AI119" s="283"/>
      <c r="AJ119" s="305"/>
      <c r="AK119" s="305"/>
      <c r="AL119" s="305"/>
      <c r="AM119" s="305"/>
      <c r="AN119" s="305"/>
      <c r="AO119" s="305"/>
      <c r="AP119" s="305"/>
      <c r="AQ119" s="305"/>
      <c r="AR119" s="305"/>
      <c r="AS119" s="305"/>
    </row>
    <row r="120" spans="1:45" s="306" customFormat="1" ht="39">
      <c r="A120" s="303" t="s">
        <v>377</v>
      </c>
      <c r="B120" s="304" t="s">
        <v>735</v>
      </c>
      <c r="C120" s="316" t="s">
        <v>797</v>
      </c>
      <c r="D120" s="284"/>
      <c r="E120" s="284"/>
      <c r="F120" s="284"/>
      <c r="G120" s="284"/>
      <c r="H120" s="284"/>
      <c r="I120" s="284"/>
      <c r="J120" s="284">
        <v>1</v>
      </c>
      <c r="K120" s="329">
        <f t="shared" si="6"/>
        <v>6.5421049877008433E-2</v>
      </c>
      <c r="L120" s="328">
        <v>1</v>
      </c>
      <c r="M120" s="284"/>
      <c r="N120" s="285"/>
      <c r="O120" s="284"/>
      <c r="P120" s="284"/>
      <c r="Q120" s="284"/>
      <c r="R120" s="287"/>
      <c r="S120" s="287"/>
      <c r="T120" s="286"/>
      <c r="U120" s="287"/>
      <c r="V120" s="287"/>
      <c r="W120" s="287"/>
      <c r="X120" s="287"/>
      <c r="Y120" s="287"/>
      <c r="Z120" s="287"/>
      <c r="AA120" s="287"/>
      <c r="AB120" s="287"/>
      <c r="AC120" s="287"/>
      <c r="AD120" s="287"/>
      <c r="AE120" s="287"/>
      <c r="AF120" s="287"/>
      <c r="AG120" s="284"/>
      <c r="AH120" s="284"/>
      <c r="AI120" s="283"/>
      <c r="AJ120" s="305"/>
      <c r="AK120" s="305"/>
      <c r="AL120" s="305"/>
      <c r="AM120" s="305"/>
      <c r="AN120" s="305"/>
      <c r="AO120" s="305"/>
      <c r="AP120" s="305"/>
      <c r="AQ120" s="305"/>
      <c r="AR120" s="305"/>
      <c r="AS120" s="305"/>
    </row>
    <row r="121" spans="1:45" s="306" customFormat="1" ht="23.25">
      <c r="A121" s="303" t="s">
        <v>379</v>
      </c>
      <c r="B121" s="304" t="s">
        <v>736</v>
      </c>
      <c r="C121" s="316" t="s">
        <v>797</v>
      </c>
      <c r="D121" s="284"/>
      <c r="E121" s="284"/>
      <c r="F121" s="284"/>
      <c r="G121" s="284"/>
      <c r="H121" s="284"/>
      <c r="I121" s="284"/>
      <c r="J121" s="284">
        <v>1</v>
      </c>
      <c r="K121" s="329">
        <f t="shared" si="6"/>
        <v>6.5421049877008433E-2</v>
      </c>
      <c r="L121" s="328">
        <v>1</v>
      </c>
      <c r="M121" s="284"/>
      <c r="N121" s="285"/>
      <c r="O121" s="284"/>
      <c r="P121" s="284"/>
      <c r="Q121" s="284"/>
      <c r="R121" s="287"/>
      <c r="S121" s="287"/>
      <c r="T121" s="286"/>
      <c r="U121" s="287"/>
      <c r="V121" s="287"/>
      <c r="W121" s="287"/>
      <c r="X121" s="287"/>
      <c r="Y121" s="287"/>
      <c r="Z121" s="287"/>
      <c r="AA121" s="287"/>
      <c r="AB121" s="287"/>
      <c r="AC121" s="287"/>
      <c r="AD121" s="287"/>
      <c r="AE121" s="287"/>
      <c r="AF121" s="287"/>
      <c r="AG121" s="284"/>
      <c r="AH121" s="284"/>
      <c r="AI121" s="283"/>
      <c r="AJ121" s="305"/>
      <c r="AK121" s="305"/>
      <c r="AL121" s="305"/>
      <c r="AM121" s="305"/>
      <c r="AN121" s="305"/>
      <c r="AO121" s="305"/>
      <c r="AP121" s="305"/>
      <c r="AQ121" s="305"/>
      <c r="AR121" s="305"/>
      <c r="AS121" s="305"/>
    </row>
    <row r="122" spans="1:45" s="306" customFormat="1" ht="23.25">
      <c r="A122" s="303" t="s">
        <v>381</v>
      </c>
      <c r="B122" s="304" t="s">
        <v>737</v>
      </c>
      <c r="C122" s="316" t="s">
        <v>797</v>
      </c>
      <c r="D122" s="284"/>
      <c r="E122" s="284"/>
      <c r="F122" s="284"/>
      <c r="G122" s="284"/>
      <c r="H122" s="284"/>
      <c r="I122" s="284"/>
      <c r="J122" s="284">
        <v>5</v>
      </c>
      <c r="K122" s="329">
        <f t="shared" si="6"/>
        <v>0.16355262469252108</v>
      </c>
      <c r="L122" s="328">
        <v>2.5</v>
      </c>
      <c r="M122" s="284"/>
      <c r="N122" s="285"/>
      <c r="O122" s="284"/>
      <c r="P122" s="284"/>
      <c r="Q122" s="284"/>
      <c r="R122" s="287"/>
      <c r="S122" s="287"/>
      <c r="T122" s="286"/>
      <c r="U122" s="287"/>
      <c r="V122" s="287"/>
      <c r="W122" s="287"/>
      <c r="X122" s="287"/>
      <c r="Y122" s="287"/>
      <c r="Z122" s="287"/>
      <c r="AA122" s="287"/>
      <c r="AB122" s="287"/>
      <c r="AC122" s="287"/>
      <c r="AD122" s="287"/>
      <c r="AE122" s="287"/>
      <c r="AF122" s="287"/>
      <c r="AG122" s="284"/>
      <c r="AH122" s="284"/>
      <c r="AI122" s="283"/>
      <c r="AJ122" s="305"/>
      <c r="AK122" s="305"/>
      <c r="AL122" s="305"/>
      <c r="AM122" s="305"/>
      <c r="AN122" s="305"/>
      <c r="AO122" s="305"/>
      <c r="AP122" s="305"/>
      <c r="AQ122" s="305"/>
      <c r="AR122" s="305"/>
      <c r="AS122" s="305"/>
    </row>
    <row r="123" spans="1:45" s="306" customFormat="1" ht="39">
      <c r="A123" s="303" t="s">
        <v>383</v>
      </c>
      <c r="B123" s="304" t="s">
        <v>738</v>
      </c>
      <c r="C123" s="316" t="s">
        <v>797</v>
      </c>
      <c r="D123" s="284"/>
      <c r="E123" s="284"/>
      <c r="F123" s="284"/>
      <c r="G123" s="284"/>
      <c r="H123" s="284"/>
      <c r="I123" s="284"/>
      <c r="J123" s="284">
        <v>1</v>
      </c>
      <c r="K123" s="329">
        <f t="shared" si="6"/>
        <v>0</v>
      </c>
      <c r="L123" s="328">
        <v>0</v>
      </c>
      <c r="M123" s="284"/>
      <c r="N123" s="285"/>
      <c r="O123" s="284"/>
      <c r="P123" s="284"/>
      <c r="Q123" s="284"/>
      <c r="R123" s="287"/>
      <c r="S123" s="287"/>
      <c r="T123" s="286"/>
      <c r="U123" s="287"/>
      <c r="V123" s="287"/>
      <c r="W123" s="287"/>
      <c r="X123" s="287"/>
      <c r="Y123" s="287"/>
      <c r="Z123" s="287"/>
      <c r="AA123" s="287"/>
      <c r="AB123" s="287"/>
      <c r="AC123" s="287"/>
      <c r="AD123" s="287"/>
      <c r="AE123" s="287"/>
      <c r="AF123" s="287"/>
      <c r="AG123" s="284"/>
      <c r="AH123" s="284"/>
      <c r="AI123" s="283"/>
      <c r="AJ123" s="305"/>
      <c r="AK123" s="305"/>
      <c r="AL123" s="305"/>
      <c r="AM123" s="305"/>
      <c r="AN123" s="305"/>
      <c r="AO123" s="305"/>
      <c r="AP123" s="305"/>
      <c r="AQ123" s="305"/>
      <c r="AR123" s="305"/>
      <c r="AS123" s="305"/>
    </row>
    <row r="124" spans="1:45" s="306" customFormat="1" ht="39">
      <c r="A124" s="303" t="s">
        <v>385</v>
      </c>
      <c r="B124" s="304" t="s">
        <v>739</v>
      </c>
      <c r="C124" s="316" t="s">
        <v>797</v>
      </c>
      <c r="D124" s="284"/>
      <c r="E124" s="284"/>
      <c r="F124" s="284"/>
      <c r="G124" s="284"/>
      <c r="H124" s="284"/>
      <c r="I124" s="284"/>
      <c r="J124" s="284">
        <v>1</v>
      </c>
      <c r="K124" s="329">
        <f t="shared" si="6"/>
        <v>0</v>
      </c>
      <c r="L124" s="328">
        <v>0</v>
      </c>
      <c r="M124" s="284"/>
      <c r="N124" s="285"/>
      <c r="O124" s="284"/>
      <c r="P124" s="284"/>
      <c r="Q124" s="284"/>
      <c r="R124" s="287"/>
      <c r="S124" s="287"/>
      <c r="T124" s="286"/>
      <c r="U124" s="287"/>
      <c r="V124" s="287"/>
      <c r="W124" s="287"/>
      <c r="X124" s="287"/>
      <c r="Y124" s="287"/>
      <c r="Z124" s="287"/>
      <c r="AA124" s="287"/>
      <c r="AB124" s="287"/>
      <c r="AC124" s="287"/>
      <c r="AD124" s="287"/>
      <c r="AE124" s="287"/>
      <c r="AF124" s="287"/>
      <c r="AG124" s="284"/>
      <c r="AH124" s="284"/>
      <c r="AI124" s="283"/>
      <c r="AJ124" s="305"/>
      <c r="AK124" s="305"/>
      <c r="AL124" s="305"/>
      <c r="AM124" s="305"/>
      <c r="AN124" s="305"/>
      <c r="AO124" s="305"/>
      <c r="AP124" s="305"/>
      <c r="AQ124" s="305"/>
      <c r="AR124" s="305"/>
      <c r="AS124" s="305"/>
    </row>
    <row r="125" spans="1:45" s="306" customFormat="1" ht="39">
      <c r="A125" s="303" t="s">
        <v>387</v>
      </c>
      <c r="B125" s="304" t="s">
        <v>740</v>
      </c>
      <c r="C125" s="316" t="s">
        <v>797</v>
      </c>
      <c r="D125" s="284"/>
      <c r="E125" s="284"/>
      <c r="F125" s="284"/>
      <c r="G125" s="284"/>
      <c r="H125" s="284"/>
      <c r="I125" s="284"/>
      <c r="J125" s="284">
        <v>5</v>
      </c>
      <c r="K125" s="329">
        <f t="shared" si="6"/>
        <v>0.32710524938504215</v>
      </c>
      <c r="L125" s="328">
        <v>5</v>
      </c>
      <c r="M125" s="284"/>
      <c r="N125" s="285"/>
      <c r="O125" s="284"/>
      <c r="P125" s="284"/>
      <c r="Q125" s="284"/>
      <c r="R125" s="287"/>
      <c r="S125" s="287"/>
      <c r="T125" s="286"/>
      <c r="U125" s="287"/>
      <c r="V125" s="287"/>
      <c r="W125" s="287"/>
      <c r="X125" s="287"/>
      <c r="Y125" s="287"/>
      <c r="Z125" s="287"/>
      <c r="AA125" s="287"/>
      <c r="AB125" s="287"/>
      <c r="AC125" s="287"/>
      <c r="AD125" s="287"/>
      <c r="AE125" s="287"/>
      <c r="AF125" s="287"/>
      <c r="AG125" s="284"/>
      <c r="AH125" s="284"/>
      <c r="AI125" s="283"/>
      <c r="AJ125" s="305"/>
      <c r="AK125" s="305"/>
      <c r="AL125" s="305"/>
      <c r="AM125" s="305"/>
      <c r="AN125" s="305"/>
      <c r="AO125" s="305"/>
      <c r="AP125" s="305"/>
      <c r="AQ125" s="305"/>
      <c r="AR125" s="305"/>
      <c r="AS125" s="305"/>
    </row>
    <row r="126" spans="1:45" s="306" customFormat="1" ht="23.25">
      <c r="A126" s="303" t="s">
        <v>537</v>
      </c>
      <c r="B126" s="304" t="s">
        <v>741</v>
      </c>
      <c r="C126" s="315" t="s">
        <v>794</v>
      </c>
      <c r="D126" s="284"/>
      <c r="E126" s="284"/>
      <c r="F126" s="284"/>
      <c r="G126" s="284"/>
      <c r="H126" s="284"/>
      <c r="I126" s="284"/>
      <c r="J126" s="284">
        <v>4</v>
      </c>
      <c r="K126" s="329">
        <f t="shared" si="6"/>
        <v>4.5794734913905897</v>
      </c>
      <c r="L126" s="328">
        <v>70</v>
      </c>
      <c r="M126" s="284"/>
      <c r="N126" s="285"/>
      <c r="O126" s="284"/>
      <c r="P126" s="284"/>
      <c r="Q126" s="284"/>
      <c r="R126" s="287"/>
      <c r="S126" s="287"/>
      <c r="T126" s="286"/>
      <c r="U126" s="287"/>
      <c r="V126" s="287"/>
      <c r="W126" s="287"/>
      <c r="X126" s="287"/>
      <c r="Y126" s="287"/>
      <c r="Z126" s="287"/>
      <c r="AA126" s="287"/>
      <c r="AB126" s="287"/>
      <c r="AC126" s="287"/>
      <c r="AD126" s="287"/>
      <c r="AE126" s="287"/>
      <c r="AF126" s="287"/>
      <c r="AG126" s="284"/>
      <c r="AH126" s="284"/>
      <c r="AI126" s="283"/>
      <c r="AJ126" s="305"/>
      <c r="AK126" s="305"/>
      <c r="AL126" s="305"/>
      <c r="AM126" s="305"/>
      <c r="AN126" s="305"/>
      <c r="AO126" s="305"/>
      <c r="AP126" s="305"/>
      <c r="AQ126" s="305"/>
      <c r="AR126" s="305"/>
      <c r="AS126" s="305"/>
    </row>
    <row r="127" spans="1:45" s="306" customFormat="1" ht="39">
      <c r="A127" s="303" t="s">
        <v>389</v>
      </c>
      <c r="B127" s="304" t="s">
        <v>742</v>
      </c>
      <c r="C127" s="316" t="s">
        <v>797</v>
      </c>
      <c r="D127" s="284"/>
      <c r="E127" s="284"/>
      <c r="F127" s="284"/>
      <c r="G127" s="284"/>
      <c r="H127" s="284"/>
      <c r="I127" s="284"/>
      <c r="J127" s="284">
        <v>6</v>
      </c>
      <c r="K127" s="329">
        <f t="shared" si="6"/>
        <v>1.5701051970482021</v>
      </c>
      <c r="L127" s="328">
        <v>24</v>
      </c>
      <c r="M127" s="284"/>
      <c r="N127" s="285"/>
      <c r="O127" s="284"/>
      <c r="P127" s="284"/>
      <c r="Q127" s="284"/>
      <c r="R127" s="287"/>
      <c r="S127" s="287"/>
      <c r="T127" s="286"/>
      <c r="U127" s="287"/>
      <c r="V127" s="287"/>
      <c r="W127" s="287"/>
      <c r="X127" s="287"/>
      <c r="Y127" s="287"/>
      <c r="Z127" s="287"/>
      <c r="AA127" s="287"/>
      <c r="AB127" s="287"/>
      <c r="AC127" s="287"/>
      <c r="AD127" s="287"/>
      <c r="AE127" s="287"/>
      <c r="AF127" s="287"/>
      <c r="AG127" s="284"/>
      <c r="AH127" s="284"/>
      <c r="AI127" s="283"/>
      <c r="AJ127" s="305"/>
      <c r="AK127" s="305"/>
      <c r="AL127" s="305"/>
      <c r="AM127" s="305"/>
      <c r="AN127" s="305"/>
      <c r="AO127" s="305"/>
      <c r="AP127" s="305"/>
      <c r="AQ127" s="305"/>
      <c r="AR127" s="305"/>
      <c r="AS127" s="305"/>
    </row>
    <row r="128" spans="1:45" s="306" customFormat="1" ht="39">
      <c r="A128" s="303" t="s">
        <v>391</v>
      </c>
      <c r="B128" s="304" t="s">
        <v>743</v>
      </c>
      <c r="C128" s="316" t="s">
        <v>797</v>
      </c>
      <c r="D128" s="284"/>
      <c r="E128" s="284"/>
      <c r="F128" s="284"/>
      <c r="G128" s="284"/>
      <c r="H128" s="284"/>
      <c r="I128" s="284"/>
      <c r="J128" s="284">
        <v>6</v>
      </c>
      <c r="K128" s="329">
        <f t="shared" si="6"/>
        <v>0.39252629926205052</v>
      </c>
      <c r="L128" s="328">
        <v>6</v>
      </c>
      <c r="M128" s="284"/>
      <c r="N128" s="285"/>
      <c r="O128" s="284"/>
      <c r="P128" s="284"/>
      <c r="Q128" s="284"/>
      <c r="R128" s="287"/>
      <c r="S128" s="287"/>
      <c r="T128" s="286"/>
      <c r="U128" s="287"/>
      <c r="V128" s="287"/>
      <c r="W128" s="287"/>
      <c r="X128" s="287"/>
      <c r="Y128" s="287"/>
      <c r="Z128" s="287"/>
      <c r="AA128" s="287"/>
      <c r="AB128" s="287"/>
      <c r="AC128" s="287"/>
      <c r="AD128" s="287"/>
      <c r="AE128" s="287"/>
      <c r="AF128" s="287"/>
      <c r="AG128" s="284"/>
      <c r="AH128" s="284"/>
      <c r="AI128" s="283"/>
      <c r="AJ128" s="305"/>
      <c r="AK128" s="305"/>
      <c r="AL128" s="305"/>
      <c r="AM128" s="305"/>
      <c r="AN128" s="305"/>
      <c r="AO128" s="305"/>
      <c r="AP128" s="305"/>
      <c r="AQ128" s="305"/>
      <c r="AR128" s="305"/>
      <c r="AS128" s="305"/>
    </row>
    <row r="129" spans="1:45" s="306" customFormat="1" ht="23.25">
      <c r="A129" s="303" t="s">
        <v>393</v>
      </c>
      <c r="B129" s="304" t="s">
        <v>744</v>
      </c>
      <c r="C129" s="316" t="s">
        <v>797</v>
      </c>
      <c r="D129" s="284"/>
      <c r="E129" s="284"/>
      <c r="F129" s="284"/>
      <c r="G129" s="284"/>
      <c r="H129" s="284"/>
      <c r="I129" s="284"/>
      <c r="J129" s="284">
        <v>0.5</v>
      </c>
      <c r="K129" s="329">
        <f t="shared" si="6"/>
        <v>3.2710524938504217E-2</v>
      </c>
      <c r="L129" s="328">
        <v>0.5</v>
      </c>
      <c r="M129" s="284"/>
      <c r="N129" s="285"/>
      <c r="O129" s="284"/>
      <c r="P129" s="284"/>
      <c r="Q129" s="284"/>
      <c r="R129" s="287"/>
      <c r="S129" s="287"/>
      <c r="T129" s="286"/>
      <c r="U129" s="287"/>
      <c r="V129" s="287"/>
      <c r="W129" s="287"/>
      <c r="X129" s="287"/>
      <c r="Y129" s="287"/>
      <c r="Z129" s="287"/>
      <c r="AA129" s="287"/>
      <c r="AB129" s="287"/>
      <c r="AC129" s="287"/>
      <c r="AD129" s="287"/>
      <c r="AE129" s="287"/>
      <c r="AF129" s="287"/>
      <c r="AG129" s="284"/>
      <c r="AH129" s="284"/>
      <c r="AI129" s="283"/>
      <c r="AJ129" s="305"/>
      <c r="AK129" s="305"/>
      <c r="AL129" s="305"/>
      <c r="AM129" s="305"/>
      <c r="AN129" s="305"/>
      <c r="AO129" s="305"/>
      <c r="AP129" s="305"/>
      <c r="AQ129" s="305"/>
      <c r="AR129" s="305"/>
      <c r="AS129" s="305"/>
    </row>
    <row r="130" spans="1:45" s="306" customFormat="1" ht="39">
      <c r="A130" s="303" t="s">
        <v>450</v>
      </c>
      <c r="B130" s="304" t="s">
        <v>745</v>
      </c>
      <c r="C130" s="316" t="s">
        <v>797</v>
      </c>
      <c r="D130" s="284"/>
      <c r="E130" s="284"/>
      <c r="F130" s="284"/>
      <c r="G130" s="284"/>
      <c r="H130" s="284"/>
      <c r="I130" s="284"/>
      <c r="J130" s="284">
        <v>1</v>
      </c>
      <c r="K130" s="329">
        <f t="shared" si="6"/>
        <v>0.26168419950803373</v>
      </c>
      <c r="L130" s="328">
        <v>4</v>
      </c>
      <c r="M130" s="284"/>
      <c r="N130" s="285"/>
      <c r="O130" s="284"/>
      <c r="P130" s="284"/>
      <c r="Q130" s="284"/>
      <c r="R130" s="287"/>
      <c r="S130" s="287"/>
      <c r="T130" s="286"/>
      <c r="U130" s="287"/>
      <c r="V130" s="287"/>
      <c r="W130" s="287"/>
      <c r="X130" s="287"/>
      <c r="Y130" s="287"/>
      <c r="Z130" s="287"/>
      <c r="AA130" s="287"/>
      <c r="AB130" s="287"/>
      <c r="AC130" s="287"/>
      <c r="AD130" s="287"/>
      <c r="AE130" s="287"/>
      <c r="AF130" s="287"/>
      <c r="AG130" s="284"/>
      <c r="AH130" s="284"/>
      <c r="AI130" s="283"/>
      <c r="AJ130" s="305"/>
      <c r="AK130" s="305"/>
      <c r="AL130" s="305"/>
      <c r="AM130" s="305"/>
      <c r="AN130" s="305"/>
      <c r="AO130" s="305"/>
      <c r="AP130" s="305"/>
      <c r="AQ130" s="305"/>
      <c r="AR130" s="305"/>
      <c r="AS130" s="305"/>
    </row>
    <row r="131" spans="1:45" s="306" customFormat="1" ht="39">
      <c r="A131" s="303" t="s">
        <v>395</v>
      </c>
      <c r="B131" s="304" t="s">
        <v>746</v>
      </c>
      <c r="C131" s="315" t="s">
        <v>794</v>
      </c>
      <c r="D131" s="284"/>
      <c r="E131" s="284"/>
      <c r="F131" s="284"/>
      <c r="G131" s="284"/>
      <c r="H131" s="284"/>
      <c r="I131" s="284"/>
      <c r="J131" s="284">
        <v>5</v>
      </c>
      <c r="K131" s="329">
        <f t="shared" si="6"/>
        <v>0.32710524938504215</v>
      </c>
      <c r="L131" s="328">
        <v>5</v>
      </c>
      <c r="M131" s="284"/>
      <c r="N131" s="285"/>
      <c r="O131" s="284"/>
      <c r="P131" s="284"/>
      <c r="Q131" s="284"/>
      <c r="R131" s="287"/>
      <c r="S131" s="287"/>
      <c r="T131" s="286"/>
      <c r="U131" s="287"/>
      <c r="V131" s="287"/>
      <c r="W131" s="287"/>
      <c r="X131" s="287"/>
      <c r="Y131" s="287"/>
      <c r="Z131" s="287"/>
      <c r="AA131" s="287"/>
      <c r="AB131" s="287"/>
      <c r="AC131" s="287"/>
      <c r="AD131" s="287"/>
      <c r="AE131" s="287"/>
      <c r="AF131" s="287"/>
      <c r="AG131" s="284"/>
      <c r="AH131" s="284"/>
      <c r="AI131" s="283"/>
      <c r="AJ131" s="305"/>
      <c r="AK131" s="305"/>
      <c r="AL131" s="305"/>
      <c r="AM131" s="305"/>
      <c r="AN131" s="305"/>
      <c r="AO131" s="305"/>
      <c r="AP131" s="305"/>
      <c r="AQ131" s="305"/>
      <c r="AR131" s="305"/>
      <c r="AS131" s="305"/>
    </row>
    <row r="132" spans="1:45" s="306" customFormat="1" ht="39">
      <c r="A132" s="303" t="s">
        <v>600</v>
      </c>
      <c r="B132" s="304" t="s">
        <v>747</v>
      </c>
      <c r="C132" s="315" t="s">
        <v>794</v>
      </c>
      <c r="D132" s="284"/>
      <c r="E132" s="284"/>
      <c r="F132" s="284"/>
      <c r="G132" s="284"/>
      <c r="H132" s="284"/>
      <c r="I132" s="284"/>
      <c r="J132" s="284">
        <v>1</v>
      </c>
      <c r="K132" s="329">
        <f t="shared" si="6"/>
        <v>0.6542104987700843</v>
      </c>
      <c r="L132" s="328">
        <v>10</v>
      </c>
      <c r="M132" s="284"/>
      <c r="N132" s="285"/>
      <c r="O132" s="284"/>
      <c r="P132" s="284"/>
      <c r="Q132" s="284"/>
      <c r="R132" s="287"/>
      <c r="S132" s="287"/>
      <c r="T132" s="286"/>
      <c r="U132" s="287"/>
      <c r="V132" s="287"/>
      <c r="W132" s="287"/>
      <c r="X132" s="287"/>
      <c r="Y132" s="287"/>
      <c r="Z132" s="287"/>
      <c r="AA132" s="287"/>
      <c r="AB132" s="287"/>
      <c r="AC132" s="287"/>
      <c r="AD132" s="287"/>
      <c r="AE132" s="287"/>
      <c r="AF132" s="287"/>
      <c r="AG132" s="284"/>
      <c r="AH132" s="284"/>
      <c r="AI132" s="283"/>
      <c r="AJ132" s="305"/>
      <c r="AK132" s="305"/>
      <c r="AL132" s="305"/>
      <c r="AM132" s="305"/>
      <c r="AN132" s="305"/>
      <c r="AO132" s="305"/>
      <c r="AP132" s="305"/>
      <c r="AQ132" s="305"/>
      <c r="AR132" s="305"/>
      <c r="AS132" s="305"/>
    </row>
    <row r="133" spans="1:45" ht="19.5">
      <c r="A133" s="284" t="s">
        <v>748</v>
      </c>
      <c r="B133" s="297" t="s">
        <v>749</v>
      </c>
      <c r="C133" s="284"/>
      <c r="D133" s="284"/>
      <c r="E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44+E43+E35+E31+E30+E29</f>
        <v>#REF!</v>
      </c>
      <c r="F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44+F43+F35+F31+F30+F29</f>
        <v>#REF!</v>
      </c>
      <c r="G133" s="284">
        <f>SUM(G30:G30)</f>
        <v>0</v>
      </c>
      <c r="H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44+H43+H35+H31+H30+H29</f>
        <v>#REF!</v>
      </c>
      <c r="I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44+I43+I35+I31+I30+I29</f>
        <v>#REF!</v>
      </c>
      <c r="J133" s="284"/>
      <c r="K133" s="287">
        <f>SUM(K29:K132)</f>
        <v>85.439891139372946</v>
      </c>
      <c r="L133" s="287">
        <f>SUM(L20:L28,L30:L31,L33,L35,L37,L39,L41,L43,L45,L47,L49,L51,L53,L55,L57,L59,L61,L63,L65:L132)</f>
        <v>1409.9999999999998</v>
      </c>
      <c r="M133" s="284"/>
      <c r="N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N44+N43+N35+N31+N30+N29</f>
        <v>#REF!</v>
      </c>
      <c r="O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O44+O43+O35+O31+O30+O29</f>
        <v>#REF!</v>
      </c>
      <c r="P133" s="287"/>
      <c r="Q133" s="287"/>
      <c r="R133" s="287"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44+R43+R35+R31+R30+R29</f>
        <v>#REF!</v>
      </c>
      <c r="S133" s="287"/>
      <c r="T133" s="287">
        <f>SUM(T29:T132)</f>
        <v>11.120000000000001</v>
      </c>
      <c r="U133" s="287" t="e">
        <f>#REF!+#REF!+#REF!+#REF!</f>
        <v>#REF!</v>
      </c>
      <c r="V133" s="287"/>
      <c r="W133" s="287"/>
      <c r="X133" s="287">
        <f>SUM(X29:X132)</f>
        <v>3.1750525985241014</v>
      </c>
      <c r="Y133" s="287"/>
      <c r="Z133" s="287"/>
      <c r="AA133" s="287"/>
      <c r="AB133" s="287"/>
      <c r="AC133" s="287"/>
      <c r="AD133" s="287"/>
      <c r="AE133" s="287"/>
      <c r="AF133" s="287">
        <f>SUM(AF29:AF132)</f>
        <v>2.9621578479091433</v>
      </c>
      <c r="AG133" s="284"/>
      <c r="AH133" s="284"/>
      <c r="AI133" s="284"/>
      <c r="AJ133" s="220"/>
      <c r="AK133" s="220"/>
      <c r="AL133" s="220"/>
      <c r="AM133" s="220"/>
      <c r="AN133" s="220"/>
      <c r="AO133" s="220"/>
      <c r="AP133" s="220"/>
      <c r="AQ133" s="220"/>
      <c r="AR133" s="220"/>
      <c r="AS133" s="220"/>
    </row>
    <row r="134" spans="1:45" ht="19.5">
      <c r="A134" s="281"/>
      <c r="B134" s="298" t="s">
        <v>756</v>
      </c>
      <c r="C134" s="281"/>
      <c r="D134" s="281"/>
      <c r="E134" s="281">
        <v>100</v>
      </c>
      <c r="F134" s="281" t="e">
        <f t="shared" ref="F134:AF134" si="7">F133</f>
        <v>#REF!</v>
      </c>
      <c r="G134" s="281">
        <f t="shared" si="7"/>
        <v>0</v>
      </c>
      <c r="H134" s="281" t="e">
        <f t="shared" si="7"/>
        <v>#REF!</v>
      </c>
      <c r="I134" s="281" t="e">
        <f t="shared" si="7"/>
        <v>#REF!</v>
      </c>
      <c r="J134" s="281"/>
      <c r="K134" s="281">
        <f t="shared" si="7"/>
        <v>85.439891139372946</v>
      </c>
      <c r="L134" s="299">
        <f t="shared" si="7"/>
        <v>1409.9999999999998</v>
      </c>
      <c r="M134" s="281">
        <f t="shared" si="7"/>
        <v>0</v>
      </c>
      <c r="N134" s="281" t="e">
        <f t="shared" si="7"/>
        <v>#REF!</v>
      </c>
      <c r="O134" s="281" t="e">
        <f t="shared" si="7"/>
        <v>#REF!</v>
      </c>
      <c r="P134" s="281">
        <f t="shared" si="7"/>
        <v>0</v>
      </c>
      <c r="Q134" s="281"/>
      <c r="R134" s="281" t="e">
        <f t="shared" si="7"/>
        <v>#REF!</v>
      </c>
      <c r="S134" s="281"/>
      <c r="T134" s="281">
        <f t="shared" si="7"/>
        <v>11.120000000000001</v>
      </c>
      <c r="U134" s="281" t="e">
        <f t="shared" si="7"/>
        <v>#REF!</v>
      </c>
      <c r="V134" s="281"/>
      <c r="W134" s="281"/>
      <c r="X134" s="299">
        <f t="shared" si="7"/>
        <v>3.1750525985241014</v>
      </c>
      <c r="Y134" s="299"/>
      <c r="Z134" s="299"/>
      <c r="AA134" s="299"/>
      <c r="AB134" s="299"/>
      <c r="AC134" s="299"/>
      <c r="AD134" s="299"/>
      <c r="AE134" s="281"/>
      <c r="AF134" s="299">
        <f t="shared" si="7"/>
        <v>2.9621578479091433</v>
      </c>
      <c r="AG134" s="281"/>
      <c r="AH134" s="281"/>
      <c r="AI134" s="281"/>
      <c r="AJ134" s="220"/>
      <c r="AK134" s="220"/>
      <c r="AL134" s="220"/>
      <c r="AM134" s="220"/>
      <c r="AN134" s="220"/>
      <c r="AO134" s="220"/>
      <c r="AP134" s="220"/>
      <c r="AQ134" s="220"/>
      <c r="AR134" s="220"/>
      <c r="AS134" s="220"/>
    </row>
    <row r="135" spans="1:45" s="220" customFormat="1" ht="19.5">
      <c r="C135" s="311"/>
      <c r="D135" s="254"/>
      <c r="E135" s="254"/>
      <c r="F135" s="254"/>
      <c r="G135" s="254"/>
      <c r="H135" s="254"/>
      <c r="I135" s="254"/>
      <c r="J135" s="255"/>
      <c r="K135" s="617"/>
      <c r="L135" s="617"/>
      <c r="M135" s="255"/>
      <c r="N135" s="255"/>
      <c r="O135" s="255"/>
      <c r="P135" s="255"/>
      <c r="Q135" s="255"/>
      <c r="R135" s="255"/>
      <c r="S135" s="255"/>
      <c r="T135" s="255"/>
      <c r="U135" s="255"/>
      <c r="V135" s="255"/>
      <c r="W135" s="255"/>
      <c r="X135" s="254"/>
      <c r="Y135" s="254"/>
      <c r="Z135" s="254"/>
      <c r="AA135" s="254"/>
      <c r="AB135" s="254"/>
      <c r="AC135" s="254"/>
      <c r="AD135" s="254"/>
      <c r="AE135" s="254"/>
      <c r="AF135" s="256"/>
      <c r="AG135" s="256"/>
      <c r="AH135" s="256"/>
      <c r="AI135" s="256"/>
    </row>
    <row r="136" spans="1:45" s="220" customFormat="1" ht="19.5">
      <c r="C136" s="311"/>
      <c r="D136" s="256"/>
      <c r="E136" s="256"/>
      <c r="F136" s="256"/>
      <c r="G136" s="256"/>
      <c r="H136" s="256"/>
      <c r="I136" s="256"/>
      <c r="J136" s="257"/>
      <c r="K136" s="257"/>
      <c r="L136" s="321"/>
      <c r="M136" s="257"/>
      <c r="N136" s="257"/>
      <c r="O136" s="257"/>
      <c r="P136" s="257"/>
      <c r="Q136" s="257"/>
      <c r="R136" s="257"/>
      <c r="S136" s="257"/>
      <c r="T136" s="257"/>
      <c r="U136" s="257"/>
      <c r="V136" s="257"/>
      <c r="W136" s="257"/>
      <c r="X136" s="256"/>
      <c r="Y136" s="256"/>
      <c r="Z136" s="256"/>
      <c r="AA136" s="256"/>
      <c r="AB136" s="256"/>
      <c r="AC136" s="256"/>
      <c r="AD136" s="256"/>
      <c r="AE136" s="256"/>
      <c r="AF136" s="256"/>
      <c r="AG136" s="256"/>
      <c r="AH136" s="256"/>
      <c r="AI136" s="256"/>
    </row>
    <row r="137" spans="1:45" s="220" customFormat="1" ht="19.5">
      <c r="C137" s="311"/>
      <c r="D137" s="256"/>
      <c r="E137" s="256"/>
      <c r="F137" s="256"/>
      <c r="G137" s="256"/>
      <c r="H137" s="256"/>
      <c r="I137" s="256"/>
      <c r="J137" s="257"/>
      <c r="K137" s="257"/>
      <c r="L137" s="321"/>
      <c r="M137" s="257"/>
      <c r="N137" s="257"/>
      <c r="O137" s="257"/>
      <c r="P137" s="257"/>
      <c r="Q137" s="257"/>
      <c r="R137" s="257"/>
      <c r="S137" s="257"/>
      <c r="T137" s="257"/>
      <c r="U137" s="257"/>
      <c r="V137" s="257"/>
      <c r="W137" s="257"/>
      <c r="X137" s="256"/>
      <c r="Y137" s="256"/>
      <c r="Z137" s="256"/>
      <c r="AA137" s="256"/>
      <c r="AB137" s="256"/>
      <c r="AC137" s="256"/>
      <c r="AD137" s="256"/>
      <c r="AE137" s="256"/>
      <c r="AF137" s="256"/>
      <c r="AG137" s="256"/>
      <c r="AH137" s="256"/>
      <c r="AI137" s="256"/>
    </row>
    <row r="138" spans="1:45" s="220" customFormat="1" ht="19.5">
      <c r="B138" s="258" t="s">
        <v>750</v>
      </c>
      <c r="C138" s="312"/>
      <c r="D138" s="259"/>
      <c r="E138" s="259"/>
      <c r="F138" s="259"/>
      <c r="G138" s="259"/>
      <c r="H138" s="259"/>
      <c r="I138" s="259"/>
      <c r="J138" s="260"/>
      <c r="K138" s="261"/>
      <c r="L138" s="322"/>
      <c r="M138" s="261"/>
      <c r="N138" s="261"/>
      <c r="O138" s="261"/>
      <c r="P138" s="258" t="s">
        <v>770</v>
      </c>
      <c r="Q138" s="261"/>
      <c r="R138" s="261"/>
      <c r="S138" s="261"/>
      <c r="T138" s="261"/>
      <c r="U138" s="261"/>
      <c r="V138" s="261"/>
      <c r="W138" s="261"/>
      <c r="X138" s="259"/>
      <c r="Y138" s="259"/>
      <c r="Z138" s="259"/>
      <c r="AA138" s="259"/>
      <c r="AB138" s="259"/>
      <c r="AC138" s="259"/>
      <c r="AD138" s="259"/>
      <c r="AE138" s="259"/>
      <c r="AF138" s="259"/>
      <c r="AI138" s="262"/>
    </row>
    <row r="139" spans="1:45" s="220" customFormat="1" ht="19.5">
      <c r="B139" s="258" t="s">
        <v>751</v>
      </c>
      <c r="C139" s="311"/>
      <c r="D139" s="256"/>
      <c r="E139" s="256"/>
      <c r="F139" s="256"/>
      <c r="G139" s="256"/>
      <c r="H139" s="256"/>
      <c r="I139" s="256"/>
      <c r="J139" s="257"/>
      <c r="K139" s="257"/>
      <c r="L139" s="321"/>
      <c r="M139" s="257"/>
      <c r="N139" s="257"/>
      <c r="O139" s="257"/>
      <c r="P139" s="258" t="s">
        <v>751</v>
      </c>
      <c r="Q139" s="261"/>
      <c r="R139" s="257"/>
      <c r="S139" s="257"/>
      <c r="T139" s="257"/>
      <c r="U139" s="257"/>
      <c r="V139" s="257"/>
      <c r="W139" s="257"/>
      <c r="X139" s="256"/>
      <c r="Y139" s="256"/>
      <c r="Z139" s="256"/>
      <c r="AA139" s="256"/>
      <c r="AB139" s="256"/>
      <c r="AC139" s="256"/>
      <c r="AD139" s="256"/>
      <c r="AE139" s="256"/>
      <c r="AF139" s="256"/>
      <c r="AG139" s="256"/>
      <c r="AH139" s="256"/>
      <c r="AI139" s="256"/>
    </row>
    <row r="140" spans="1:45" s="220" customFormat="1" ht="19.5">
      <c r="C140" s="313"/>
      <c r="L140" s="323"/>
      <c r="S140" s="220" t="s">
        <v>457</v>
      </c>
      <c r="U140" s="263"/>
    </row>
    <row r="141" spans="1:45" s="220" customFormat="1" ht="19.5">
      <c r="C141" s="313"/>
      <c r="L141" s="323"/>
      <c r="U141" s="263"/>
    </row>
    <row r="142" spans="1:45" s="220" customFormat="1" ht="19.5">
      <c r="C142" s="313"/>
      <c r="L142" s="323"/>
      <c r="U142" s="263"/>
    </row>
    <row r="143" spans="1:45" s="220" customFormat="1" ht="19.5">
      <c r="C143" s="313"/>
      <c r="L143" s="323"/>
      <c r="U143" s="263"/>
    </row>
    <row r="144" spans="1:45" ht="19.5">
      <c r="C144" s="313"/>
      <c r="D144" s="220"/>
      <c r="E144" s="220"/>
      <c r="F144" s="220"/>
      <c r="G144" s="220"/>
      <c r="H144" s="220"/>
      <c r="I144" s="220"/>
      <c r="J144" s="220"/>
      <c r="K144" s="220"/>
      <c r="L144" s="323"/>
      <c r="M144" s="220"/>
      <c r="N144" s="220"/>
      <c r="O144" s="220"/>
      <c r="P144" s="220"/>
      <c r="Q144" s="220"/>
      <c r="R144" s="220"/>
      <c r="S144" s="220"/>
      <c r="T144" s="220"/>
      <c r="U144" s="263"/>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row>
    <row r="145" spans="3:45" ht="19.5">
      <c r="C145" s="313"/>
      <c r="D145" s="220"/>
      <c r="E145" s="220"/>
      <c r="F145" s="220"/>
      <c r="G145" s="220"/>
      <c r="H145" s="220"/>
      <c r="I145" s="220"/>
      <c r="J145" s="220"/>
      <c r="K145" s="220"/>
      <c r="L145" s="323"/>
      <c r="M145" s="220"/>
      <c r="N145" s="220"/>
      <c r="O145" s="220"/>
      <c r="P145" s="220"/>
      <c r="Q145" s="220"/>
      <c r="R145" s="220"/>
      <c r="S145" s="220"/>
      <c r="T145" s="220"/>
      <c r="U145" s="263"/>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row>
    <row r="146" spans="3:45" ht="19.5">
      <c r="C146" s="313"/>
      <c r="D146" s="220"/>
      <c r="E146" s="220"/>
      <c r="F146" s="220"/>
      <c r="G146" s="220"/>
      <c r="H146" s="220"/>
      <c r="I146" s="220"/>
      <c r="J146" s="220"/>
      <c r="K146" s="220"/>
      <c r="L146" s="323"/>
      <c r="M146" s="220"/>
      <c r="N146" s="220"/>
      <c r="O146" s="220"/>
      <c r="P146" s="220"/>
      <c r="Q146" s="220"/>
      <c r="R146" s="220"/>
      <c r="S146" s="220"/>
      <c r="T146" s="220"/>
      <c r="U146" s="263"/>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row>
    <row r="147" spans="3:45" ht="19.5">
      <c r="C147" s="313"/>
      <c r="D147" s="220"/>
      <c r="E147" s="220"/>
      <c r="F147" s="220"/>
      <c r="G147" s="220"/>
      <c r="H147" s="220"/>
      <c r="I147" s="220"/>
      <c r="J147" s="220"/>
      <c r="K147" s="220"/>
      <c r="L147" s="323"/>
      <c r="M147" s="220"/>
      <c r="N147" s="220"/>
      <c r="O147" s="220"/>
      <c r="P147" s="220"/>
      <c r="Q147" s="220"/>
      <c r="R147" s="220"/>
      <c r="S147" s="220"/>
      <c r="T147" s="220"/>
      <c r="U147" s="263"/>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row>
    <row r="148" spans="3:45" ht="19.5">
      <c r="C148" s="313"/>
      <c r="D148" s="220"/>
      <c r="E148" s="220"/>
      <c r="F148" s="220"/>
      <c r="G148" s="220"/>
      <c r="H148" s="220"/>
      <c r="I148" s="220"/>
      <c r="J148" s="220"/>
      <c r="K148" s="220"/>
      <c r="L148" s="323"/>
      <c r="M148" s="220"/>
      <c r="N148" s="220"/>
      <c r="O148" s="220"/>
      <c r="P148" s="220"/>
      <c r="Q148" s="220"/>
      <c r="R148" s="220"/>
      <c r="S148" s="220"/>
      <c r="T148" s="220"/>
      <c r="U148" s="263"/>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row>
    <row r="149" spans="3:45" ht="19.5">
      <c r="C149" s="313"/>
      <c r="D149" s="220"/>
      <c r="E149" s="220"/>
      <c r="F149" s="220"/>
      <c r="G149" s="220"/>
      <c r="H149" s="220"/>
      <c r="I149" s="220"/>
      <c r="J149" s="220"/>
      <c r="K149" s="220"/>
      <c r="L149" s="323"/>
      <c r="M149" s="220"/>
      <c r="N149" s="220"/>
      <c r="O149" s="220"/>
      <c r="P149" s="220"/>
      <c r="Q149" s="220"/>
      <c r="R149" s="220"/>
      <c r="S149" s="220"/>
      <c r="T149" s="220"/>
      <c r="U149" s="263"/>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row>
    <row r="150" spans="3:45" ht="19.5">
      <c r="C150" s="313"/>
      <c r="D150" s="220"/>
      <c r="E150" s="220"/>
      <c r="F150" s="220"/>
      <c r="G150" s="220"/>
      <c r="H150" s="220"/>
      <c r="I150" s="220"/>
      <c r="J150" s="220"/>
      <c r="K150" s="220"/>
      <c r="L150" s="323"/>
      <c r="M150" s="220"/>
      <c r="N150" s="220"/>
      <c r="O150" s="220"/>
      <c r="P150" s="220"/>
      <c r="Q150" s="220"/>
      <c r="R150" s="220"/>
      <c r="S150" s="220"/>
      <c r="T150" s="220"/>
      <c r="U150" s="263"/>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row>
    <row r="151" spans="3:45" ht="19.5">
      <c r="C151" s="313"/>
      <c r="D151" s="220"/>
      <c r="E151" s="220"/>
      <c r="F151" s="220"/>
      <c r="G151" s="220"/>
      <c r="H151" s="220"/>
      <c r="I151" s="220"/>
      <c r="J151" s="220"/>
      <c r="K151" s="220"/>
      <c r="L151" s="323"/>
      <c r="M151" s="220"/>
      <c r="N151" s="220"/>
      <c r="O151" s="220"/>
      <c r="P151" s="220"/>
      <c r="Q151" s="220"/>
      <c r="R151" s="220"/>
      <c r="S151" s="220"/>
      <c r="T151" s="220"/>
      <c r="U151" s="263"/>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row>
    <row r="152" spans="3:45" ht="19.5">
      <c r="C152" s="313"/>
      <c r="D152" s="220"/>
      <c r="E152" s="220"/>
      <c r="F152" s="220"/>
      <c r="G152" s="220"/>
      <c r="H152" s="220"/>
      <c r="I152" s="220"/>
      <c r="J152" s="220"/>
      <c r="K152" s="220"/>
      <c r="L152" s="323"/>
      <c r="M152" s="220"/>
      <c r="N152" s="220"/>
      <c r="O152" s="220"/>
      <c r="P152" s="220"/>
      <c r="Q152" s="220"/>
      <c r="R152" s="220"/>
      <c r="S152" s="220"/>
      <c r="T152" s="220"/>
      <c r="U152" s="263"/>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row>
    <row r="153" spans="3:45" ht="19.5">
      <c r="C153" s="313"/>
      <c r="D153" s="220"/>
      <c r="E153" s="220"/>
      <c r="F153" s="220"/>
      <c r="G153" s="220"/>
      <c r="H153" s="220"/>
      <c r="I153" s="220"/>
      <c r="J153" s="220"/>
      <c r="K153" s="220"/>
      <c r="L153" s="323"/>
      <c r="M153" s="220"/>
      <c r="N153" s="220"/>
      <c r="O153" s="220"/>
      <c r="P153" s="220"/>
      <c r="Q153" s="220"/>
      <c r="R153" s="220"/>
      <c r="S153" s="220"/>
      <c r="T153" s="220"/>
      <c r="U153" s="263"/>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row>
    <row r="154" spans="3:45" ht="19.5">
      <c r="C154" s="313"/>
      <c r="D154" s="220"/>
      <c r="E154" s="220"/>
      <c r="F154" s="220"/>
      <c r="G154" s="220"/>
      <c r="H154" s="220"/>
      <c r="I154" s="220"/>
      <c r="J154" s="220"/>
      <c r="K154" s="220"/>
      <c r="L154" s="323"/>
      <c r="M154" s="220"/>
      <c r="N154" s="220"/>
      <c r="O154" s="220"/>
      <c r="P154" s="220"/>
      <c r="Q154" s="220"/>
      <c r="R154" s="220"/>
      <c r="S154" s="220"/>
      <c r="T154" s="220"/>
      <c r="U154" s="263"/>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row>
    <row r="155" spans="3:45" ht="19.5">
      <c r="C155" s="313"/>
      <c r="D155" s="220"/>
      <c r="E155" s="220"/>
      <c r="F155" s="220"/>
      <c r="G155" s="220"/>
      <c r="H155" s="220"/>
      <c r="I155" s="220"/>
      <c r="J155" s="220"/>
      <c r="K155" s="220"/>
      <c r="L155" s="323"/>
      <c r="M155" s="220"/>
      <c r="N155" s="220"/>
      <c r="O155" s="220"/>
      <c r="P155" s="220"/>
      <c r="Q155" s="220"/>
      <c r="R155" s="220"/>
      <c r="S155" s="220"/>
      <c r="T155" s="220"/>
      <c r="U155" s="263"/>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row>
    <row r="156" spans="3:45" ht="19.5">
      <c r="C156" s="313"/>
      <c r="D156" s="220"/>
      <c r="E156" s="220"/>
      <c r="F156" s="220"/>
      <c r="G156" s="220"/>
      <c r="H156" s="220"/>
      <c r="I156" s="220"/>
      <c r="J156" s="220"/>
      <c r="K156" s="220"/>
      <c r="L156" s="323"/>
      <c r="M156" s="220"/>
      <c r="N156" s="220"/>
      <c r="O156" s="220"/>
      <c r="P156" s="220"/>
      <c r="Q156" s="220"/>
      <c r="R156" s="220"/>
      <c r="S156" s="220"/>
      <c r="T156" s="220"/>
      <c r="U156" s="263"/>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row>
    <row r="157" spans="3:45" ht="19.5">
      <c r="C157" s="313"/>
      <c r="D157" s="220"/>
      <c r="E157" s="220"/>
      <c r="F157" s="220"/>
      <c r="G157" s="220"/>
      <c r="H157" s="220"/>
      <c r="I157" s="220"/>
      <c r="J157" s="220"/>
      <c r="K157" s="220"/>
      <c r="L157" s="323"/>
      <c r="M157" s="220"/>
      <c r="N157" s="220"/>
      <c r="O157" s="220"/>
      <c r="P157" s="220"/>
      <c r="Q157" s="220"/>
      <c r="R157" s="220"/>
      <c r="S157" s="220"/>
      <c r="T157" s="220"/>
      <c r="U157" s="263"/>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row>
    <row r="158" spans="3:45" ht="19.5">
      <c r="C158" s="313"/>
      <c r="D158" s="220"/>
      <c r="E158" s="220"/>
      <c r="F158" s="220"/>
      <c r="G158" s="220"/>
      <c r="H158" s="220"/>
      <c r="I158" s="220"/>
      <c r="J158" s="220"/>
      <c r="K158" s="220"/>
      <c r="L158" s="323"/>
      <c r="M158" s="220"/>
      <c r="N158" s="220"/>
      <c r="O158" s="220"/>
      <c r="P158" s="220"/>
      <c r="Q158" s="220"/>
      <c r="R158" s="220"/>
      <c r="S158" s="220"/>
      <c r="T158" s="220"/>
      <c r="U158" s="263"/>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row>
    <row r="159" spans="3:45" ht="19.5">
      <c r="C159" s="313"/>
      <c r="D159" s="220"/>
      <c r="E159" s="220"/>
      <c r="F159" s="220"/>
      <c r="G159" s="220"/>
      <c r="H159" s="220"/>
      <c r="I159" s="220"/>
      <c r="J159" s="220"/>
      <c r="K159" s="220"/>
      <c r="L159" s="323"/>
      <c r="M159" s="220"/>
      <c r="N159" s="220"/>
      <c r="O159" s="220"/>
      <c r="P159" s="220"/>
      <c r="Q159" s="220"/>
      <c r="R159" s="220"/>
      <c r="S159" s="220"/>
      <c r="T159" s="220"/>
      <c r="U159" s="263"/>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row>
    <row r="160" spans="3:45" ht="19.5">
      <c r="C160" s="313"/>
      <c r="D160" s="220"/>
      <c r="E160" s="220"/>
      <c r="F160" s="220"/>
      <c r="G160" s="220"/>
      <c r="H160" s="220"/>
      <c r="I160" s="220"/>
      <c r="J160" s="220"/>
      <c r="K160" s="220"/>
      <c r="L160" s="323"/>
      <c r="M160" s="220"/>
      <c r="N160" s="220"/>
      <c r="O160" s="220"/>
      <c r="P160" s="220"/>
      <c r="Q160" s="220"/>
      <c r="R160" s="220"/>
      <c r="S160" s="220"/>
      <c r="T160" s="220"/>
      <c r="U160" s="263"/>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row>
    <row r="161" spans="3:45" ht="19.5">
      <c r="C161" s="313"/>
      <c r="D161" s="220"/>
      <c r="E161" s="220"/>
      <c r="F161" s="220"/>
      <c r="G161" s="220"/>
      <c r="H161" s="220"/>
      <c r="I161" s="220"/>
      <c r="J161" s="220"/>
      <c r="K161" s="220"/>
      <c r="L161" s="323"/>
      <c r="M161" s="220"/>
      <c r="N161" s="220"/>
      <c r="O161" s="220"/>
      <c r="P161" s="220"/>
      <c r="Q161" s="220"/>
      <c r="R161" s="220"/>
      <c r="S161" s="220"/>
      <c r="T161" s="220"/>
      <c r="U161" s="263"/>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row>
    <row r="162" spans="3:45" ht="19.5">
      <c r="C162" s="313"/>
      <c r="D162" s="220"/>
      <c r="E162" s="220"/>
      <c r="F162" s="220"/>
      <c r="G162" s="220"/>
      <c r="H162" s="220"/>
      <c r="I162" s="220"/>
      <c r="J162" s="220"/>
      <c r="K162" s="220"/>
      <c r="L162" s="323"/>
      <c r="M162" s="220"/>
      <c r="N162" s="220"/>
      <c r="O162" s="220"/>
      <c r="P162" s="220"/>
      <c r="Q162" s="220"/>
      <c r="R162" s="220"/>
      <c r="S162" s="220"/>
      <c r="T162" s="220"/>
      <c r="U162" s="263"/>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row>
    <row r="163" spans="3:45" ht="19.5">
      <c r="C163" s="313"/>
      <c r="D163" s="220"/>
      <c r="E163" s="220"/>
      <c r="F163" s="220"/>
      <c r="G163" s="220"/>
      <c r="H163" s="220"/>
      <c r="I163" s="220"/>
      <c r="J163" s="220"/>
      <c r="K163" s="220"/>
      <c r="L163" s="323"/>
      <c r="M163" s="220"/>
      <c r="N163" s="220"/>
      <c r="O163" s="220"/>
      <c r="P163" s="220"/>
      <c r="Q163" s="220"/>
      <c r="R163" s="220"/>
      <c r="S163" s="220"/>
      <c r="T163" s="220"/>
      <c r="U163" s="263"/>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row>
  </sheetData>
  <sortState ref="A176:B197">
    <sortCondition ref="A176"/>
  </sortState>
  <mergeCells count="19">
    <mergeCell ref="K135:L135"/>
    <mergeCell ref="AE17:AF17"/>
    <mergeCell ref="AG17:AH17"/>
    <mergeCell ref="AI17:AI18"/>
    <mergeCell ref="G17:I17"/>
    <mergeCell ref="J17:L17"/>
    <mergeCell ref="M17:O17"/>
    <mergeCell ref="P17:R17"/>
    <mergeCell ref="S17:U17"/>
    <mergeCell ref="V17:X17"/>
    <mergeCell ref="Y17:AA17"/>
    <mergeCell ref="AB17:AD17"/>
    <mergeCell ref="C17:C18"/>
    <mergeCell ref="D17:F17"/>
    <mergeCell ref="A1:AI1"/>
    <mergeCell ref="A2:AI2"/>
    <mergeCell ref="AE4:AF4"/>
    <mergeCell ref="A17:A18"/>
    <mergeCell ref="B17:B18"/>
  </mergeCells>
  <pageMargins left="0.25" right="0.2" top="0.35" bottom="0.31" header="0.3" footer="0.3"/>
  <pageSetup scale="38" fitToHeight="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165"/>
  <sheetViews>
    <sheetView zoomScale="90" zoomScaleNormal="90" workbookViewId="0">
      <selection activeCell="N135" sqref="N135"/>
    </sheetView>
  </sheetViews>
  <sheetFormatPr defaultRowHeight="12.75"/>
  <cols>
    <col min="1" max="1" width="16.5703125" customWidth="1"/>
    <col min="2" max="2" width="86.5703125" customWidth="1"/>
    <col min="3" max="3" width="10.140625" style="314" customWidth="1"/>
    <col min="4" max="9" width="9.7109375" hidden="1" customWidth="1"/>
    <col min="10" max="11" width="9.7109375" customWidth="1"/>
    <col min="12" max="12" width="9.7109375" style="324" customWidth="1"/>
    <col min="13" max="20" width="9.7109375" customWidth="1"/>
    <col min="21" max="22" width="9.7109375" hidden="1" customWidth="1"/>
    <col min="23" max="23" width="9.7109375" style="71" hidden="1" customWidth="1"/>
    <col min="24" max="36" width="9.7109375" hidden="1" customWidth="1"/>
    <col min="37" max="37" width="20.5703125" customWidth="1"/>
  </cols>
  <sheetData>
    <row r="1" spans="1:37"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row>
    <row r="2" spans="1:37" s="220" customFormat="1" ht="32.450000000000003"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row>
    <row r="3" spans="1:37" s="220" customFormat="1" ht="32.450000000000003"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row>
    <row r="4" spans="1:37" s="220" customFormat="1" ht="27.6" customHeight="1">
      <c r="A4" s="613" t="s">
        <v>801</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row>
    <row r="5" spans="1:37" s="220" customFormat="1" ht="28.5">
      <c r="A5" s="265"/>
      <c r="B5" s="265"/>
      <c r="C5" s="265"/>
      <c r="D5" s="265"/>
      <c r="E5" s="265"/>
      <c r="F5" s="265"/>
      <c r="G5" s="265"/>
      <c r="H5" s="265"/>
      <c r="I5" s="265"/>
      <c r="J5" s="265"/>
      <c r="K5" s="265"/>
      <c r="L5" s="318"/>
      <c r="M5" s="265"/>
      <c r="N5" s="263"/>
      <c r="O5" s="263"/>
      <c r="P5" s="265"/>
      <c r="Q5" s="265"/>
      <c r="R5" s="264"/>
      <c r="S5" s="264"/>
      <c r="T5" s="264"/>
      <c r="U5" s="264"/>
      <c r="V5" s="264"/>
      <c r="W5" s="264"/>
      <c r="X5" s="264"/>
      <c r="Y5" s="264"/>
      <c r="Z5" s="264"/>
      <c r="AA5" s="264"/>
      <c r="AB5" s="264"/>
      <c r="AC5" s="264"/>
      <c r="AD5" s="264"/>
      <c r="AE5" s="264"/>
      <c r="AF5" s="264"/>
      <c r="AG5" s="265"/>
      <c r="AH5" s="265"/>
      <c r="AI5" s="265"/>
      <c r="AJ5" s="265"/>
      <c r="AK5" s="265"/>
    </row>
    <row r="6" spans="1:37" s="220" customFormat="1" ht="24" hidden="1">
      <c r="A6" s="266" t="s">
        <v>771</v>
      </c>
      <c r="B6" s="266"/>
      <c r="C6" s="309"/>
      <c r="D6" s="266"/>
      <c r="E6" s="266"/>
      <c r="F6" s="266"/>
      <c r="G6" s="266"/>
      <c r="H6" s="266"/>
      <c r="I6" s="266"/>
      <c r="J6" s="267"/>
      <c r="K6" s="267"/>
      <c r="L6" s="319"/>
      <c r="M6" s="263"/>
      <c r="N6" s="263"/>
      <c r="O6" s="263"/>
      <c r="P6" s="263"/>
      <c r="Q6" s="263"/>
      <c r="R6" s="263"/>
      <c r="S6" s="263"/>
      <c r="T6" s="263"/>
      <c r="U6" s="266" t="s">
        <v>785</v>
      </c>
      <c r="V6" s="263"/>
      <c r="W6" s="267"/>
      <c r="X6" s="268">
        <f>'एकिकृत बिवरण'!$J$13/100000-331.31</f>
        <v>600.97694000000001</v>
      </c>
      <c r="Y6" s="269"/>
      <c r="Z6" s="270">
        <v>331.31</v>
      </c>
      <c r="AA6" s="270"/>
      <c r="AB6" s="270"/>
      <c r="AC6" s="270"/>
      <c r="AD6" s="270"/>
      <c r="AE6" s="270"/>
      <c r="AF6" s="270"/>
      <c r="AG6" s="614">
        <f>X6+Z6</f>
        <v>932.28693999999996</v>
      </c>
      <c r="AH6" s="614"/>
      <c r="AI6" s="266"/>
      <c r="AJ6" s="266"/>
    </row>
    <row r="7" spans="1:37" s="220" customFormat="1" ht="24" hidden="1">
      <c r="A7" s="271" t="s">
        <v>772</v>
      </c>
      <c r="B7" s="266"/>
      <c r="C7" s="309"/>
      <c r="D7" s="266"/>
      <c r="E7" s="266"/>
      <c r="F7" s="266"/>
      <c r="G7" s="266"/>
      <c r="H7" s="266"/>
      <c r="I7" s="266"/>
      <c r="J7" s="267"/>
      <c r="K7" s="267"/>
      <c r="L7" s="319"/>
      <c r="M7" s="263"/>
      <c r="N7" s="263"/>
      <c r="O7" s="263"/>
      <c r="P7" s="267"/>
      <c r="Q7" s="267"/>
      <c r="R7" s="267"/>
      <c r="S7" s="267"/>
      <c r="T7" s="267"/>
      <c r="U7" s="273" t="s">
        <v>779</v>
      </c>
      <c r="V7" s="267"/>
      <c r="W7" s="267"/>
      <c r="X7" s="267"/>
      <c r="Y7" s="267"/>
      <c r="Z7" s="266"/>
      <c r="AA7" s="266"/>
      <c r="AB7" s="266"/>
      <c r="AC7" s="266"/>
      <c r="AD7" s="266"/>
      <c r="AE7" s="266"/>
      <c r="AF7" s="266"/>
      <c r="AG7" s="266"/>
      <c r="AH7" s="266"/>
      <c r="AI7" s="266"/>
      <c r="AJ7" s="266"/>
    </row>
    <row r="8" spans="1:37" s="220" customFormat="1" ht="24" hidden="1">
      <c r="A8" s="266" t="s">
        <v>773</v>
      </c>
      <c r="B8" s="266"/>
      <c r="C8" s="309"/>
      <c r="D8" s="266"/>
      <c r="E8" s="266"/>
      <c r="F8" s="266"/>
      <c r="G8" s="266"/>
      <c r="H8" s="266"/>
      <c r="I8" s="266"/>
      <c r="J8" s="267"/>
      <c r="K8" s="267"/>
      <c r="L8" s="319"/>
      <c r="M8" s="263"/>
      <c r="N8" s="263"/>
      <c r="O8" s="263"/>
      <c r="P8" s="263"/>
      <c r="Q8" s="263"/>
      <c r="U8" s="267" t="s">
        <v>786</v>
      </c>
      <c r="V8" s="263"/>
      <c r="W8" s="263"/>
      <c r="X8" s="267"/>
      <c r="Y8" s="267"/>
      <c r="Z8" s="266"/>
      <c r="AA8" s="266"/>
      <c r="AB8" s="266"/>
      <c r="AC8" s="266"/>
      <c r="AD8" s="266"/>
      <c r="AE8" s="266"/>
      <c r="AF8" s="266"/>
      <c r="AG8" s="266"/>
      <c r="AH8" s="266"/>
      <c r="AI8" s="266"/>
      <c r="AJ8" s="266"/>
    </row>
    <row r="9" spans="1:37" s="220" customFormat="1" ht="24" hidden="1">
      <c r="A9" s="266" t="s">
        <v>774</v>
      </c>
      <c r="B9" s="266"/>
      <c r="C9" s="309"/>
      <c r="D9" s="266"/>
      <c r="E9" s="266"/>
      <c r="F9" s="266"/>
      <c r="G9" s="266"/>
      <c r="H9" s="266"/>
      <c r="I9" s="266"/>
      <c r="J9" s="267"/>
      <c r="K9" s="267"/>
      <c r="L9" s="319"/>
      <c r="M9" s="263"/>
      <c r="N9" s="267"/>
      <c r="O9" s="263"/>
      <c r="P9" s="267"/>
      <c r="Q9" s="267"/>
      <c r="R9" s="267"/>
      <c r="S9" s="267"/>
      <c r="T9" s="267"/>
      <c r="U9" s="267"/>
      <c r="V9" s="267"/>
      <c r="W9" s="267"/>
      <c r="X9" s="267"/>
      <c r="Y9" s="267"/>
      <c r="Z9" s="266"/>
      <c r="AA9" s="266"/>
      <c r="AB9" s="266"/>
      <c r="AC9" s="266"/>
      <c r="AD9" s="266"/>
      <c r="AE9" s="266"/>
      <c r="AF9" s="266"/>
      <c r="AG9" s="266"/>
      <c r="AH9" s="266"/>
      <c r="AI9" s="266"/>
      <c r="AJ9" s="266"/>
    </row>
    <row r="10" spans="1:37" s="220" customFormat="1" ht="24" hidden="1">
      <c r="A10" s="266" t="s">
        <v>775</v>
      </c>
      <c r="B10" s="266"/>
      <c r="C10" s="309"/>
      <c r="D10" s="266"/>
      <c r="E10" s="266"/>
      <c r="F10" s="266"/>
      <c r="G10" s="266"/>
      <c r="H10" s="266"/>
      <c r="I10" s="266"/>
      <c r="J10" s="267"/>
      <c r="K10" s="267"/>
      <c r="L10" s="319"/>
      <c r="M10" s="263"/>
      <c r="N10" s="263"/>
      <c r="O10" s="263"/>
      <c r="P10" s="263"/>
      <c r="Q10" s="263"/>
      <c r="R10" s="267"/>
      <c r="S10" s="267"/>
      <c r="T10" s="267"/>
      <c r="V10" s="267" t="s">
        <v>793</v>
      </c>
      <c r="X10" s="267"/>
      <c r="Y10" s="267"/>
      <c r="Z10" s="266"/>
      <c r="AA10" s="266"/>
      <c r="AB10" s="266"/>
      <c r="AC10" s="266"/>
      <c r="AD10" s="266"/>
      <c r="AE10" s="266"/>
      <c r="AF10" s="266"/>
      <c r="AG10" s="266"/>
      <c r="AH10" s="266"/>
      <c r="AI10" s="266"/>
      <c r="AJ10" s="266"/>
    </row>
    <row r="11" spans="1:37" s="220" customFormat="1" ht="24" hidden="1">
      <c r="A11" s="266" t="s">
        <v>776</v>
      </c>
      <c r="B11" s="266"/>
      <c r="C11" s="309"/>
      <c r="D11" s="266"/>
      <c r="E11" s="266"/>
      <c r="F11" s="266"/>
      <c r="G11" s="266"/>
      <c r="H11" s="266"/>
      <c r="I11" s="266"/>
      <c r="J11" s="267"/>
      <c r="K11" s="267"/>
      <c r="L11" s="319"/>
      <c r="M11" s="263"/>
      <c r="N11" s="267"/>
      <c r="O11" s="263"/>
      <c r="P11" s="267"/>
      <c r="Q11" s="267"/>
      <c r="R11" s="267"/>
      <c r="S11" s="267"/>
      <c r="T11" s="267"/>
      <c r="U11" s="267"/>
      <c r="V11" s="267"/>
      <c r="W11" s="267"/>
      <c r="X11" s="267"/>
      <c r="Y11" s="267"/>
      <c r="Z11" s="266"/>
      <c r="AA11" s="266"/>
      <c r="AB11" s="266"/>
      <c r="AC11" s="266"/>
      <c r="AD11" s="266"/>
      <c r="AE11" s="266"/>
      <c r="AF11" s="266"/>
      <c r="AG11" s="266"/>
      <c r="AH11" s="266"/>
      <c r="AI11" s="266"/>
      <c r="AJ11" s="266"/>
    </row>
    <row r="12" spans="1:37" s="220" customFormat="1" ht="24" hidden="1">
      <c r="A12" s="266" t="s">
        <v>777</v>
      </c>
      <c r="B12" s="266"/>
      <c r="C12" s="309"/>
      <c r="D12" s="266"/>
      <c r="E12" s="266"/>
      <c r="F12" s="266"/>
      <c r="G12" s="266"/>
      <c r="H12" s="266"/>
      <c r="I12" s="266"/>
      <c r="J12" s="267"/>
      <c r="K12" s="267"/>
      <c r="L12" s="319"/>
      <c r="M12" s="263"/>
      <c r="N12" s="263"/>
      <c r="O12" s="263"/>
      <c r="P12" s="263"/>
      <c r="Q12" s="263"/>
      <c r="R12" s="267"/>
      <c r="S12" s="267"/>
      <c r="T12" s="267"/>
      <c r="U12" s="267" t="s">
        <v>787</v>
      </c>
      <c r="V12" s="263"/>
      <c r="W12" s="267"/>
      <c r="X12" s="267"/>
      <c r="Y12" s="267"/>
      <c r="Z12" s="266"/>
      <c r="AA12" s="266"/>
      <c r="AB12" s="266"/>
      <c r="AC12" s="266"/>
      <c r="AD12" s="266"/>
      <c r="AE12" s="266"/>
      <c r="AF12" s="266"/>
      <c r="AG12" s="266"/>
      <c r="AH12" s="266"/>
      <c r="AI12" s="266"/>
      <c r="AJ12" s="266"/>
    </row>
    <row r="13" spans="1:37" s="220" customFormat="1" ht="24" hidden="1">
      <c r="A13" s="266" t="s">
        <v>778</v>
      </c>
      <c r="B13" s="266"/>
      <c r="C13" s="310"/>
      <c r="D13" s="272"/>
      <c r="E13" s="272"/>
      <c r="F13" s="272"/>
      <c r="G13" s="272"/>
      <c r="H13" s="272"/>
      <c r="I13" s="272"/>
      <c r="J13" s="267"/>
      <c r="K13" s="267"/>
      <c r="L13" s="319"/>
      <c r="M13" s="263"/>
      <c r="N13" s="263"/>
      <c r="O13" s="263"/>
      <c r="P13" s="263"/>
      <c r="Q13" s="263"/>
      <c r="R13" s="267"/>
      <c r="S13" s="267"/>
      <c r="T13" s="267"/>
      <c r="U13" s="267" t="s">
        <v>788</v>
      </c>
      <c r="V13" s="263"/>
      <c r="W13" s="267"/>
      <c r="X13" s="267"/>
      <c r="Y13" s="267"/>
      <c r="Z13" s="266"/>
      <c r="AA13" s="266"/>
      <c r="AB13" s="266"/>
      <c r="AC13" s="266"/>
      <c r="AD13" s="266"/>
      <c r="AE13" s="266"/>
      <c r="AF13" s="266"/>
      <c r="AG13" s="266"/>
      <c r="AH13" s="266"/>
      <c r="AI13" s="266"/>
      <c r="AJ13" s="266"/>
    </row>
    <row r="14" spans="1:37" s="220" customFormat="1" ht="24" hidden="1">
      <c r="A14" s="273" t="s">
        <v>779</v>
      </c>
      <c r="B14" s="266"/>
      <c r="C14" s="310"/>
      <c r="D14" s="272"/>
      <c r="E14" s="272"/>
      <c r="F14" s="272"/>
      <c r="G14" s="272"/>
      <c r="H14" s="272"/>
      <c r="I14" s="272"/>
      <c r="J14" s="267"/>
      <c r="K14" s="267"/>
      <c r="L14" s="319"/>
      <c r="M14" s="263"/>
      <c r="N14" s="263"/>
      <c r="O14" s="263"/>
      <c r="P14" s="267"/>
      <c r="Q14" s="267"/>
      <c r="R14" s="267"/>
      <c r="S14" s="267"/>
      <c r="T14" s="267"/>
      <c r="U14" s="267" t="s">
        <v>789</v>
      </c>
      <c r="V14" s="267"/>
      <c r="W14" s="267"/>
      <c r="X14" s="267"/>
      <c r="Y14" s="267"/>
      <c r="Z14" s="266"/>
      <c r="AA14" s="266"/>
      <c r="AB14" s="266"/>
      <c r="AC14" s="266"/>
      <c r="AD14" s="266"/>
      <c r="AE14" s="266"/>
      <c r="AF14" s="266"/>
      <c r="AG14" s="266"/>
      <c r="AH14" s="266"/>
      <c r="AI14" s="266"/>
      <c r="AK14" s="274" t="e">
        <f>X6/#REF!*100</f>
        <v>#REF!</v>
      </c>
    </row>
    <row r="15" spans="1:37" s="220" customFormat="1" ht="24" hidden="1">
      <c r="A15" s="266" t="s">
        <v>780</v>
      </c>
      <c r="B15" s="266"/>
      <c r="C15" s="309"/>
      <c r="D15" s="266"/>
      <c r="E15" s="266"/>
      <c r="F15" s="266"/>
      <c r="G15" s="266"/>
      <c r="H15" s="266"/>
      <c r="I15" s="266"/>
      <c r="J15" s="267"/>
      <c r="K15" s="267"/>
      <c r="L15" s="319"/>
      <c r="M15" s="263"/>
      <c r="N15" s="263"/>
      <c r="O15" s="263"/>
      <c r="P15" s="267"/>
      <c r="Q15" s="267"/>
      <c r="R15" s="267"/>
      <c r="S15" s="267"/>
      <c r="T15" s="267"/>
      <c r="U15" s="267" t="s">
        <v>790</v>
      </c>
      <c r="V15" s="267"/>
      <c r="W15" s="267"/>
      <c r="X15" s="267"/>
      <c r="Y15" s="267"/>
      <c r="Z15" s="266"/>
      <c r="AA15" s="266"/>
      <c r="AB15" s="266"/>
      <c r="AC15" s="266"/>
      <c r="AD15" s="266"/>
      <c r="AE15" s="266"/>
      <c r="AF15" s="266"/>
      <c r="AG15" s="266"/>
      <c r="AH15" s="266"/>
      <c r="AI15" s="266"/>
      <c r="AK15" s="275">
        <f>AG6/L136*100</f>
        <v>66.119641134751788</v>
      </c>
    </row>
    <row r="16" spans="1:37" s="220" customFormat="1" ht="24" hidden="1">
      <c r="A16" s="266" t="s">
        <v>781</v>
      </c>
      <c r="B16" s="266"/>
      <c r="C16" s="309"/>
      <c r="D16" s="266"/>
      <c r="E16" s="266"/>
      <c r="F16" s="266"/>
      <c r="G16" s="266"/>
      <c r="H16" s="266"/>
      <c r="I16" s="266"/>
      <c r="J16" s="267"/>
      <c r="K16" s="267"/>
      <c r="L16" s="319"/>
      <c r="M16" s="263"/>
      <c r="N16" s="263"/>
      <c r="O16" s="263"/>
      <c r="P16" s="267"/>
      <c r="Q16" s="267"/>
      <c r="R16" s="267"/>
      <c r="S16" s="267"/>
      <c r="T16" s="267"/>
      <c r="U16" s="267" t="s">
        <v>791</v>
      </c>
      <c r="V16" s="267"/>
      <c r="W16" s="267"/>
      <c r="X16" s="267"/>
      <c r="Y16" s="267"/>
      <c r="Z16" s="266"/>
      <c r="AA16" s="266"/>
      <c r="AB16" s="266"/>
      <c r="AC16" s="266"/>
      <c r="AD16" s="266"/>
      <c r="AE16" s="266"/>
      <c r="AF16" s="266"/>
      <c r="AG16" s="266"/>
      <c r="AH16" s="266"/>
      <c r="AI16" s="266"/>
      <c r="AJ16" s="266"/>
      <c r="AK16" s="266"/>
    </row>
    <row r="17" spans="1:47" s="220" customFormat="1" ht="24" hidden="1">
      <c r="A17" s="266" t="s">
        <v>782</v>
      </c>
      <c r="B17" s="266"/>
      <c r="C17" s="309"/>
      <c r="D17" s="266"/>
      <c r="E17" s="266"/>
      <c r="F17" s="266"/>
      <c r="G17" s="266"/>
      <c r="H17" s="266"/>
      <c r="I17" s="266"/>
      <c r="J17" s="267"/>
      <c r="K17" s="267"/>
      <c r="L17" s="319"/>
      <c r="M17" s="263"/>
      <c r="N17" s="263"/>
      <c r="O17" s="263"/>
      <c r="P17" s="267"/>
      <c r="Q17" s="267"/>
      <c r="R17" s="267"/>
      <c r="S17" s="267"/>
      <c r="T17" s="267"/>
      <c r="U17" s="267" t="s">
        <v>792</v>
      </c>
      <c r="V17" s="267"/>
      <c r="W17" s="267"/>
      <c r="X17" s="267"/>
      <c r="Y17" s="267"/>
      <c r="Z17" s="266"/>
      <c r="AA17" s="266"/>
      <c r="AB17" s="266"/>
      <c r="AC17" s="266"/>
      <c r="AD17" s="266"/>
      <c r="AE17" s="266"/>
      <c r="AF17" s="266"/>
      <c r="AG17" s="266"/>
      <c r="AH17" s="266"/>
      <c r="AI17" s="266"/>
      <c r="AK17" s="276">
        <f>AH136</f>
        <v>2.9621578479091433</v>
      </c>
    </row>
    <row r="18" spans="1:47" s="220" customFormat="1" ht="24">
      <c r="A18" s="266" t="s">
        <v>806</v>
      </c>
      <c r="B18" s="266"/>
      <c r="C18" s="309"/>
      <c r="D18" s="266"/>
      <c r="E18" s="266"/>
      <c r="F18" s="266"/>
      <c r="G18" s="266"/>
      <c r="H18" s="266"/>
      <c r="I18" s="266"/>
      <c r="J18" s="267"/>
      <c r="K18" s="267"/>
      <c r="L18" s="319"/>
      <c r="M18" s="267"/>
      <c r="N18" s="267"/>
      <c r="O18" s="267"/>
      <c r="P18" s="267"/>
      <c r="Q18" s="267"/>
      <c r="R18" s="267"/>
      <c r="S18" s="344" t="s">
        <v>802</v>
      </c>
      <c r="T18" s="345">
        <f>S135</f>
        <v>0</v>
      </c>
      <c r="U18" s="267"/>
      <c r="V18" s="267"/>
      <c r="W18" s="267"/>
      <c r="X18" s="267"/>
      <c r="Y18" s="267"/>
      <c r="Z18" s="266"/>
      <c r="AA18" s="266"/>
      <c r="AB18" s="266"/>
      <c r="AC18" s="266"/>
      <c r="AD18" s="266"/>
      <c r="AE18" s="266"/>
      <c r="AF18" s="266"/>
      <c r="AG18" s="266"/>
      <c r="AH18" s="266"/>
      <c r="AI18" s="330" t="s">
        <v>802</v>
      </c>
      <c r="AJ18" s="266"/>
    </row>
    <row r="19" spans="1:47" s="220" customFormat="1" ht="45.6" customHeight="1">
      <c r="A19" s="621" t="s">
        <v>752</v>
      </c>
      <c r="B19" s="621" t="s">
        <v>753</v>
      </c>
      <c r="C19" s="611" t="s">
        <v>754</v>
      </c>
      <c r="D19" s="611" t="s">
        <v>755</v>
      </c>
      <c r="E19" s="611"/>
      <c r="F19" s="611"/>
      <c r="G19" s="611" t="s">
        <v>759</v>
      </c>
      <c r="H19" s="611"/>
      <c r="I19" s="611"/>
      <c r="J19" s="621" t="s">
        <v>760</v>
      </c>
      <c r="K19" s="621"/>
      <c r="L19" s="621"/>
      <c r="M19" s="621" t="s">
        <v>762</v>
      </c>
      <c r="N19" s="621"/>
      <c r="O19" s="621"/>
      <c r="P19" s="611" t="s">
        <v>763</v>
      </c>
      <c r="Q19" s="611"/>
      <c r="R19" s="611"/>
      <c r="S19" s="611" t="s">
        <v>803</v>
      </c>
      <c r="T19" s="611"/>
      <c r="U19" s="621" t="s">
        <v>764</v>
      </c>
      <c r="V19" s="621"/>
      <c r="W19" s="621"/>
      <c r="X19" s="611" t="s">
        <v>765</v>
      </c>
      <c r="Y19" s="611"/>
      <c r="Z19" s="611"/>
      <c r="AA19" s="611" t="s">
        <v>767</v>
      </c>
      <c r="AB19" s="611"/>
      <c r="AC19" s="611"/>
      <c r="AD19" s="611" t="s">
        <v>766</v>
      </c>
      <c r="AE19" s="611"/>
      <c r="AF19" s="611"/>
      <c r="AG19" s="618" t="s">
        <v>768</v>
      </c>
      <c r="AH19" s="618"/>
      <c r="AI19" s="618" t="s">
        <v>769</v>
      </c>
      <c r="AJ19" s="618"/>
      <c r="AK19" s="621" t="s">
        <v>497</v>
      </c>
    </row>
    <row r="20" spans="1:47" s="220" customFormat="1" ht="28.5" customHeight="1">
      <c r="A20" s="621"/>
      <c r="B20" s="621"/>
      <c r="C20" s="611"/>
      <c r="D20" s="349" t="s">
        <v>761</v>
      </c>
      <c r="E20" s="349" t="s">
        <v>757</v>
      </c>
      <c r="F20" s="349" t="s">
        <v>758</v>
      </c>
      <c r="G20" s="349" t="s">
        <v>761</v>
      </c>
      <c r="H20" s="349" t="s">
        <v>757</v>
      </c>
      <c r="I20" s="349" t="s">
        <v>758</v>
      </c>
      <c r="J20" s="349" t="s">
        <v>761</v>
      </c>
      <c r="K20" s="349" t="s">
        <v>757</v>
      </c>
      <c r="L20" s="335" t="s">
        <v>758</v>
      </c>
      <c r="M20" s="349" t="s">
        <v>761</v>
      </c>
      <c r="N20" s="349" t="s">
        <v>757</v>
      </c>
      <c r="O20" s="349" t="s">
        <v>758</v>
      </c>
      <c r="P20" s="349" t="s">
        <v>761</v>
      </c>
      <c r="Q20" s="349" t="s">
        <v>757</v>
      </c>
      <c r="R20" s="349" t="s">
        <v>805</v>
      </c>
      <c r="S20" s="349" t="s">
        <v>804</v>
      </c>
      <c r="T20" s="349" t="s">
        <v>805</v>
      </c>
      <c r="U20" s="349" t="s">
        <v>761</v>
      </c>
      <c r="V20" s="349" t="s">
        <v>757</v>
      </c>
      <c r="W20" s="349" t="s">
        <v>758</v>
      </c>
      <c r="X20" s="349" t="s">
        <v>761</v>
      </c>
      <c r="Y20" s="349" t="s">
        <v>757</v>
      </c>
      <c r="Z20" s="349" t="s">
        <v>758</v>
      </c>
      <c r="AA20" s="349"/>
      <c r="AB20" s="349"/>
      <c r="AC20" s="349"/>
      <c r="AD20" s="349"/>
      <c r="AE20" s="349"/>
      <c r="AF20" s="349"/>
      <c r="AG20" s="336"/>
      <c r="AH20" s="336"/>
      <c r="AI20" s="348"/>
      <c r="AJ20" s="337"/>
      <c r="AK20" s="621"/>
    </row>
    <row r="21" spans="1:47" s="220" customFormat="1" ht="19.5">
      <c r="A21" s="278">
        <v>1</v>
      </c>
      <c r="B21" s="278">
        <v>2</v>
      </c>
      <c r="C21" s="278">
        <v>3</v>
      </c>
      <c r="D21" s="278">
        <v>4</v>
      </c>
      <c r="E21" s="278">
        <v>5</v>
      </c>
      <c r="F21" s="278">
        <v>6</v>
      </c>
      <c r="G21" s="278">
        <v>7</v>
      </c>
      <c r="H21" s="278">
        <v>8</v>
      </c>
      <c r="I21" s="278">
        <v>9</v>
      </c>
      <c r="J21" s="347">
        <v>4</v>
      </c>
      <c r="K21" s="278">
        <v>5</v>
      </c>
      <c r="L21" s="278">
        <v>6</v>
      </c>
      <c r="M21" s="278">
        <v>7</v>
      </c>
      <c r="N21" s="278">
        <v>8</v>
      </c>
      <c r="O21" s="278">
        <v>9</v>
      </c>
      <c r="P21" s="278">
        <v>10</v>
      </c>
      <c r="Q21" s="336">
        <v>11</v>
      </c>
      <c r="R21" s="347">
        <v>12</v>
      </c>
      <c r="S21" s="278">
        <v>13</v>
      </c>
      <c r="T21" s="278">
        <v>14</v>
      </c>
      <c r="U21" s="278">
        <v>13</v>
      </c>
      <c r="V21" s="278">
        <v>13.5</v>
      </c>
      <c r="W21" s="278">
        <v>14</v>
      </c>
      <c r="X21" s="278">
        <v>14.5</v>
      </c>
      <c r="Y21" s="278">
        <v>15</v>
      </c>
      <c r="Z21" s="347">
        <v>15.5</v>
      </c>
      <c r="AA21" s="278">
        <v>16</v>
      </c>
      <c r="AB21" s="278">
        <v>16.5</v>
      </c>
      <c r="AC21" s="278">
        <v>17</v>
      </c>
      <c r="AD21" s="278">
        <v>17.5</v>
      </c>
      <c r="AE21" s="278">
        <v>18</v>
      </c>
      <c r="AF21" s="278">
        <v>18.5</v>
      </c>
      <c r="AG21" s="278">
        <v>19</v>
      </c>
      <c r="AH21" s="347">
        <v>19.5</v>
      </c>
      <c r="AI21" s="278">
        <v>20</v>
      </c>
      <c r="AJ21" s="278">
        <v>20.5</v>
      </c>
      <c r="AK21" s="278">
        <v>15</v>
      </c>
    </row>
    <row r="22" spans="1:47" s="350" customFormat="1" ht="19.899999999999999" customHeight="1">
      <c r="A22" s="301" t="s">
        <v>511</v>
      </c>
      <c r="B22" s="301" t="s">
        <v>602</v>
      </c>
      <c r="C22" s="282" t="s">
        <v>794</v>
      </c>
      <c r="D22" s="282"/>
      <c r="E22" s="282"/>
      <c r="F22" s="282"/>
      <c r="G22" s="282"/>
      <c r="H22" s="282"/>
      <c r="I22" s="282"/>
      <c r="J22" s="282">
        <v>1</v>
      </c>
      <c r="K22" s="329">
        <f>(L22/1528.56)*100</f>
        <v>2.9439472444653796</v>
      </c>
      <c r="L22" s="329">
        <v>45</v>
      </c>
      <c r="M22" s="282">
        <v>1</v>
      </c>
      <c r="N22" s="338">
        <f>O22/1528.56*100</f>
        <v>2.9439472444653796</v>
      </c>
      <c r="O22" s="329">
        <v>45</v>
      </c>
      <c r="P22" s="282">
        <v>0.1</v>
      </c>
      <c r="Q22" s="333">
        <f>IF(M22=0,P22/J22*K22,P22/M22*N22)</f>
        <v>0.29439472444653797</v>
      </c>
      <c r="R22" s="282">
        <f>ROUND(IF(N22=0,Q22/K22*100,Q22/N22*100),2)</f>
        <v>10</v>
      </c>
      <c r="S22" s="282">
        <v>0</v>
      </c>
      <c r="T22" s="282">
        <f>IFERROR(S22/O22*100,0)</f>
        <v>0</v>
      </c>
      <c r="U22" s="282"/>
      <c r="V22" s="282"/>
      <c r="W22" s="282"/>
      <c r="X22" s="282"/>
      <c r="Y22" s="282"/>
      <c r="Z22" s="282"/>
      <c r="AA22" s="282"/>
      <c r="AB22" s="282"/>
      <c r="AC22" s="282"/>
      <c r="AD22" s="282"/>
      <c r="AE22" s="282"/>
      <c r="AF22" s="282"/>
      <c r="AG22" s="282"/>
      <c r="AH22" s="282"/>
      <c r="AI22" s="282"/>
      <c r="AJ22" s="282"/>
      <c r="AK22" s="629" t="s">
        <v>808</v>
      </c>
      <c r="AL22" s="263"/>
      <c r="AM22" s="263"/>
      <c r="AN22" s="263"/>
      <c r="AO22" s="263"/>
      <c r="AP22" s="263"/>
      <c r="AQ22" s="263"/>
      <c r="AR22" s="263"/>
      <c r="AS22" s="263"/>
      <c r="AT22" s="263"/>
      <c r="AU22" s="263"/>
    </row>
    <row r="23" spans="1:47" s="350" customFormat="1" ht="19.5">
      <c r="A23" s="304" t="s">
        <v>517</v>
      </c>
      <c r="B23" s="304" t="s">
        <v>603</v>
      </c>
      <c r="C23" s="284" t="s">
        <v>795</v>
      </c>
      <c r="D23" s="284"/>
      <c r="E23" s="284"/>
      <c r="F23" s="284"/>
      <c r="G23" s="284"/>
      <c r="H23" s="284"/>
      <c r="I23" s="284"/>
      <c r="J23" s="284">
        <v>20</v>
      </c>
      <c r="K23" s="287">
        <f t="shared" ref="K23:K86" si="0">(L23/1528.56)*100</f>
        <v>9.813157481551265</v>
      </c>
      <c r="L23" s="287">
        <v>150</v>
      </c>
      <c r="M23" s="284">
        <v>0</v>
      </c>
      <c r="N23" s="339">
        <f t="shared" ref="N23:N86" si="1">O23/1528.56*100</f>
        <v>0</v>
      </c>
      <c r="O23" s="287">
        <v>0</v>
      </c>
      <c r="P23" s="284">
        <v>5</v>
      </c>
      <c r="Q23" s="287">
        <f t="shared" ref="Q23:Q86" si="2">IF(M23=0,P23/J23*K23,P23/M23*N23)</f>
        <v>2.4532893703878162</v>
      </c>
      <c r="R23" s="284">
        <f t="shared" ref="R23:R86" si="3">ROUND(IF(N23=0,Q23/K23*100,Q23/N23*100),2)</f>
        <v>25</v>
      </c>
      <c r="S23" s="284">
        <v>0</v>
      </c>
      <c r="T23" s="284">
        <f t="shared" ref="T23:T86" si="4">IFERROR(S23/O23*100,0)</f>
        <v>0</v>
      </c>
      <c r="U23" s="284"/>
      <c r="V23" s="284"/>
      <c r="W23" s="284"/>
      <c r="X23" s="284"/>
      <c r="Y23" s="284"/>
      <c r="Z23" s="284"/>
      <c r="AA23" s="284"/>
      <c r="AB23" s="284"/>
      <c r="AC23" s="284"/>
      <c r="AD23" s="284"/>
      <c r="AE23" s="284"/>
      <c r="AF23" s="284"/>
      <c r="AG23" s="284"/>
      <c r="AH23" s="284"/>
      <c r="AI23" s="284"/>
      <c r="AJ23" s="284"/>
      <c r="AK23" s="630"/>
      <c r="AL23" s="263"/>
      <c r="AM23" s="263"/>
      <c r="AN23" s="263"/>
      <c r="AO23" s="263"/>
      <c r="AP23" s="263"/>
      <c r="AQ23" s="263"/>
      <c r="AR23" s="263"/>
      <c r="AS23" s="263"/>
      <c r="AT23" s="263"/>
      <c r="AU23" s="263"/>
    </row>
    <row r="24" spans="1:47" s="350" customFormat="1" ht="19.5">
      <c r="A24" s="304" t="s">
        <v>232</v>
      </c>
      <c r="B24" s="304" t="s">
        <v>604</v>
      </c>
      <c r="C24" s="284" t="s">
        <v>794</v>
      </c>
      <c r="D24" s="284"/>
      <c r="E24" s="284"/>
      <c r="F24" s="284"/>
      <c r="G24" s="284"/>
      <c r="H24" s="284"/>
      <c r="I24" s="284"/>
      <c r="J24" s="284">
        <v>3.4</v>
      </c>
      <c r="K24" s="287">
        <f t="shared" si="0"/>
        <v>6.542104987700843</v>
      </c>
      <c r="L24" s="287">
        <v>100</v>
      </c>
      <c r="M24" s="284">
        <v>1</v>
      </c>
      <c r="N24" s="339">
        <f t="shared" si="1"/>
        <v>1.9626314963102527</v>
      </c>
      <c r="O24" s="287">
        <v>30</v>
      </c>
      <c r="P24" s="284">
        <v>1</v>
      </c>
      <c r="Q24" s="287">
        <f t="shared" si="2"/>
        <v>1.9626314963102527</v>
      </c>
      <c r="R24" s="284">
        <f t="shared" si="3"/>
        <v>100</v>
      </c>
      <c r="S24" s="284">
        <v>0</v>
      </c>
      <c r="T24" s="284">
        <f t="shared" si="4"/>
        <v>0</v>
      </c>
      <c r="U24" s="284"/>
      <c r="V24" s="284"/>
      <c r="W24" s="284"/>
      <c r="X24" s="284"/>
      <c r="Y24" s="284"/>
      <c r="Z24" s="284"/>
      <c r="AA24" s="284"/>
      <c r="AB24" s="284"/>
      <c r="AC24" s="284"/>
      <c r="AD24" s="284"/>
      <c r="AE24" s="284"/>
      <c r="AF24" s="284"/>
      <c r="AG24" s="284"/>
      <c r="AH24" s="284"/>
      <c r="AI24" s="284"/>
      <c r="AJ24" s="284"/>
      <c r="AK24" s="630"/>
      <c r="AL24" s="263"/>
      <c r="AM24" s="263"/>
      <c r="AN24" s="263"/>
      <c r="AO24" s="263"/>
      <c r="AP24" s="263"/>
      <c r="AQ24" s="263"/>
      <c r="AR24" s="263"/>
      <c r="AS24" s="263"/>
      <c r="AT24" s="263"/>
      <c r="AU24" s="263"/>
    </row>
    <row r="25" spans="1:47" s="350" customFormat="1" ht="19.5">
      <c r="A25" s="304" t="s">
        <v>234</v>
      </c>
      <c r="B25" s="304" t="s">
        <v>605</v>
      </c>
      <c r="C25" s="284" t="s">
        <v>794</v>
      </c>
      <c r="D25" s="284"/>
      <c r="E25" s="284"/>
      <c r="F25" s="284"/>
      <c r="G25" s="284"/>
      <c r="H25" s="284"/>
      <c r="I25" s="284"/>
      <c r="J25" s="284">
        <v>2.96</v>
      </c>
      <c r="K25" s="287">
        <f t="shared" si="0"/>
        <v>3.9252629926205054</v>
      </c>
      <c r="L25" s="287">
        <v>60</v>
      </c>
      <c r="M25" s="284">
        <v>0</v>
      </c>
      <c r="N25" s="339">
        <f t="shared" si="1"/>
        <v>0</v>
      </c>
      <c r="O25" s="287">
        <v>0</v>
      </c>
      <c r="P25" s="284">
        <v>0.5</v>
      </c>
      <c r="Q25" s="287">
        <f t="shared" si="2"/>
        <v>0.66305118118589612</v>
      </c>
      <c r="R25" s="284">
        <f t="shared" si="3"/>
        <v>16.89</v>
      </c>
      <c r="S25" s="284">
        <v>0</v>
      </c>
      <c r="T25" s="284">
        <f t="shared" si="4"/>
        <v>0</v>
      </c>
      <c r="U25" s="284"/>
      <c r="V25" s="284"/>
      <c r="W25" s="284"/>
      <c r="X25" s="284"/>
      <c r="Y25" s="284"/>
      <c r="Z25" s="284"/>
      <c r="AA25" s="284"/>
      <c r="AB25" s="284"/>
      <c r="AC25" s="284"/>
      <c r="AD25" s="284"/>
      <c r="AE25" s="284"/>
      <c r="AF25" s="284"/>
      <c r="AG25" s="284"/>
      <c r="AH25" s="284"/>
      <c r="AI25" s="284"/>
      <c r="AJ25" s="284"/>
      <c r="AK25" s="630"/>
      <c r="AL25" s="263"/>
      <c r="AM25" s="263"/>
      <c r="AN25" s="263"/>
      <c r="AO25" s="263"/>
      <c r="AP25" s="263"/>
      <c r="AQ25" s="263"/>
      <c r="AR25" s="263"/>
      <c r="AS25" s="263"/>
      <c r="AT25" s="263"/>
      <c r="AU25" s="263"/>
    </row>
    <row r="26" spans="1:47" s="350" customFormat="1" ht="19.5">
      <c r="A26" s="304" t="s">
        <v>240</v>
      </c>
      <c r="B26" s="304" t="s">
        <v>606</v>
      </c>
      <c r="C26" s="284" t="s">
        <v>794</v>
      </c>
      <c r="D26" s="284"/>
      <c r="E26" s="284"/>
      <c r="F26" s="284"/>
      <c r="G26" s="284"/>
      <c r="H26" s="284"/>
      <c r="I26" s="284"/>
      <c r="J26" s="284">
        <v>1</v>
      </c>
      <c r="K26" s="287">
        <f t="shared" si="0"/>
        <v>0.32710524938504215</v>
      </c>
      <c r="L26" s="287">
        <v>5</v>
      </c>
      <c r="M26" s="284">
        <v>0</v>
      </c>
      <c r="N26" s="339">
        <f t="shared" si="1"/>
        <v>0</v>
      </c>
      <c r="O26" s="287">
        <v>0</v>
      </c>
      <c r="P26" s="284">
        <v>0.15</v>
      </c>
      <c r="Q26" s="287">
        <f t="shared" si="2"/>
        <v>4.9065787407756321E-2</v>
      </c>
      <c r="R26" s="284">
        <f t="shared" si="3"/>
        <v>15</v>
      </c>
      <c r="S26" s="284">
        <v>0</v>
      </c>
      <c r="T26" s="284">
        <f t="shared" si="4"/>
        <v>0</v>
      </c>
      <c r="U26" s="284"/>
      <c r="V26" s="284"/>
      <c r="W26" s="284"/>
      <c r="X26" s="284"/>
      <c r="Y26" s="284"/>
      <c r="Z26" s="284"/>
      <c r="AA26" s="284"/>
      <c r="AB26" s="284"/>
      <c r="AC26" s="284"/>
      <c r="AD26" s="284"/>
      <c r="AE26" s="284"/>
      <c r="AF26" s="284"/>
      <c r="AG26" s="284"/>
      <c r="AH26" s="284"/>
      <c r="AI26" s="284"/>
      <c r="AJ26" s="284"/>
      <c r="AK26" s="630"/>
      <c r="AL26" s="263"/>
      <c r="AM26" s="263"/>
      <c r="AN26" s="263"/>
      <c r="AO26" s="263"/>
      <c r="AP26" s="263"/>
      <c r="AQ26" s="263"/>
      <c r="AR26" s="263"/>
      <c r="AS26" s="263"/>
      <c r="AT26" s="263"/>
      <c r="AU26" s="263"/>
    </row>
    <row r="27" spans="1:47" s="350" customFormat="1" ht="19.5">
      <c r="A27" s="304" t="s">
        <v>242</v>
      </c>
      <c r="B27" s="304" t="s">
        <v>607</v>
      </c>
      <c r="C27" s="284" t="s">
        <v>794</v>
      </c>
      <c r="D27" s="284"/>
      <c r="E27" s="284"/>
      <c r="F27" s="284"/>
      <c r="G27" s="284"/>
      <c r="H27" s="284"/>
      <c r="I27" s="284"/>
      <c r="J27" s="284">
        <v>1</v>
      </c>
      <c r="K27" s="287">
        <f t="shared" si="0"/>
        <v>0.6542104987700843</v>
      </c>
      <c r="L27" s="287">
        <v>10</v>
      </c>
      <c r="M27" s="284">
        <v>0</v>
      </c>
      <c r="N27" s="339">
        <f t="shared" si="1"/>
        <v>0</v>
      </c>
      <c r="O27" s="287">
        <v>0</v>
      </c>
      <c r="P27" s="284">
        <v>0.35</v>
      </c>
      <c r="Q27" s="287">
        <f t="shared" si="2"/>
        <v>0.2289736745695295</v>
      </c>
      <c r="R27" s="284">
        <f t="shared" si="3"/>
        <v>35</v>
      </c>
      <c r="S27" s="284">
        <v>0</v>
      </c>
      <c r="T27" s="284">
        <f t="shared" si="4"/>
        <v>0</v>
      </c>
      <c r="U27" s="284"/>
      <c r="V27" s="284"/>
      <c r="W27" s="284"/>
      <c r="X27" s="284"/>
      <c r="Y27" s="284"/>
      <c r="Z27" s="284"/>
      <c r="AA27" s="284"/>
      <c r="AB27" s="284"/>
      <c r="AC27" s="284"/>
      <c r="AD27" s="284"/>
      <c r="AE27" s="284"/>
      <c r="AF27" s="284"/>
      <c r="AG27" s="284"/>
      <c r="AH27" s="284"/>
      <c r="AI27" s="284"/>
      <c r="AJ27" s="284"/>
      <c r="AK27" s="630"/>
      <c r="AL27" s="263"/>
      <c r="AM27" s="263"/>
      <c r="AN27" s="263"/>
      <c r="AO27" s="263"/>
      <c r="AP27" s="263"/>
      <c r="AQ27" s="263"/>
      <c r="AR27" s="263"/>
      <c r="AS27" s="263"/>
      <c r="AT27" s="263"/>
      <c r="AU27" s="263"/>
    </row>
    <row r="28" spans="1:47" s="350" customFormat="1" ht="19.5">
      <c r="A28" s="304" t="s">
        <v>244</v>
      </c>
      <c r="B28" s="304" t="s">
        <v>608</v>
      </c>
      <c r="C28" s="284" t="s">
        <v>794</v>
      </c>
      <c r="D28" s="284"/>
      <c r="E28" s="284"/>
      <c r="F28" s="284"/>
      <c r="G28" s="284"/>
      <c r="H28" s="284"/>
      <c r="I28" s="284"/>
      <c r="J28" s="284">
        <v>1</v>
      </c>
      <c r="K28" s="287">
        <f t="shared" si="0"/>
        <v>0.6542104987700843</v>
      </c>
      <c r="L28" s="287">
        <v>10</v>
      </c>
      <c r="M28" s="284">
        <v>0</v>
      </c>
      <c r="N28" s="339">
        <f t="shared" si="1"/>
        <v>0</v>
      </c>
      <c r="O28" s="287">
        <v>0</v>
      </c>
      <c r="P28" s="284">
        <v>0.25</v>
      </c>
      <c r="Q28" s="287">
        <f t="shared" si="2"/>
        <v>0.16355262469252108</v>
      </c>
      <c r="R28" s="284">
        <f t="shared" si="3"/>
        <v>25</v>
      </c>
      <c r="S28" s="284">
        <v>0</v>
      </c>
      <c r="T28" s="284">
        <f t="shared" si="4"/>
        <v>0</v>
      </c>
      <c r="U28" s="284"/>
      <c r="V28" s="284"/>
      <c r="W28" s="284"/>
      <c r="X28" s="284"/>
      <c r="Y28" s="284"/>
      <c r="Z28" s="284"/>
      <c r="AA28" s="284"/>
      <c r="AB28" s="284"/>
      <c r="AC28" s="284"/>
      <c r="AD28" s="284"/>
      <c r="AE28" s="284"/>
      <c r="AF28" s="284"/>
      <c r="AG28" s="284"/>
      <c r="AH28" s="284"/>
      <c r="AI28" s="284"/>
      <c r="AJ28" s="284"/>
      <c r="AK28" s="630"/>
      <c r="AL28" s="263"/>
      <c r="AM28" s="263"/>
      <c r="AN28" s="263"/>
      <c r="AO28" s="263"/>
      <c r="AP28" s="263"/>
      <c r="AQ28" s="263"/>
      <c r="AR28" s="263"/>
      <c r="AS28" s="263"/>
      <c r="AT28" s="263"/>
      <c r="AU28" s="263"/>
    </row>
    <row r="29" spans="1:47" s="350" customFormat="1" ht="16.899999999999999" customHeight="1">
      <c r="A29" s="304" t="s">
        <v>246</v>
      </c>
      <c r="B29" s="304" t="s">
        <v>609</v>
      </c>
      <c r="C29" s="284" t="s">
        <v>794</v>
      </c>
      <c r="D29" s="284"/>
      <c r="E29" s="284"/>
      <c r="F29" s="284"/>
      <c r="G29" s="284"/>
      <c r="H29" s="284"/>
      <c r="I29" s="284"/>
      <c r="J29" s="284">
        <v>1</v>
      </c>
      <c r="K29" s="287">
        <f t="shared" si="0"/>
        <v>0.6542104987700843</v>
      </c>
      <c r="L29" s="287">
        <v>10</v>
      </c>
      <c r="M29" s="284">
        <v>0</v>
      </c>
      <c r="N29" s="339">
        <f t="shared" si="1"/>
        <v>0</v>
      </c>
      <c r="O29" s="287">
        <v>0</v>
      </c>
      <c r="P29" s="284">
        <v>0.7</v>
      </c>
      <c r="Q29" s="287">
        <f t="shared" si="2"/>
        <v>0.45794734913905899</v>
      </c>
      <c r="R29" s="284">
        <f t="shared" si="3"/>
        <v>70</v>
      </c>
      <c r="S29" s="284">
        <v>0</v>
      </c>
      <c r="T29" s="284">
        <f t="shared" si="4"/>
        <v>0</v>
      </c>
      <c r="U29" s="284"/>
      <c r="V29" s="284"/>
      <c r="W29" s="284"/>
      <c r="X29" s="284"/>
      <c r="Y29" s="284"/>
      <c r="Z29" s="284"/>
      <c r="AA29" s="284"/>
      <c r="AB29" s="284"/>
      <c r="AC29" s="284"/>
      <c r="AD29" s="284"/>
      <c r="AE29" s="284"/>
      <c r="AF29" s="284"/>
      <c r="AG29" s="284"/>
      <c r="AH29" s="284"/>
      <c r="AI29" s="284"/>
      <c r="AJ29" s="284"/>
      <c r="AK29" s="630"/>
      <c r="AL29" s="263"/>
      <c r="AM29" s="263"/>
      <c r="AN29" s="263"/>
      <c r="AO29" s="263"/>
      <c r="AP29" s="263"/>
      <c r="AQ29" s="263"/>
      <c r="AR29" s="263"/>
      <c r="AS29" s="263"/>
      <c r="AT29" s="263"/>
      <c r="AU29" s="263"/>
    </row>
    <row r="30" spans="1:47" s="350" customFormat="1" ht="19.5">
      <c r="A30" s="304" t="s">
        <v>248</v>
      </c>
      <c r="B30" s="304" t="s">
        <v>610</v>
      </c>
      <c r="C30" s="284" t="s">
        <v>794</v>
      </c>
      <c r="D30" s="284"/>
      <c r="E30" s="284"/>
      <c r="F30" s="284"/>
      <c r="G30" s="284"/>
      <c r="H30" s="284"/>
      <c r="I30" s="284"/>
      <c r="J30" s="284">
        <v>1</v>
      </c>
      <c r="K30" s="287">
        <f t="shared" si="0"/>
        <v>1.3084209975401686</v>
      </c>
      <c r="L30" s="287">
        <v>20</v>
      </c>
      <c r="M30" s="284">
        <v>0</v>
      </c>
      <c r="N30" s="339">
        <f t="shared" si="1"/>
        <v>0</v>
      </c>
      <c r="O30" s="287">
        <v>0</v>
      </c>
      <c r="P30" s="284">
        <v>0.15</v>
      </c>
      <c r="Q30" s="287">
        <f t="shared" si="2"/>
        <v>0.19626314963102529</v>
      </c>
      <c r="R30" s="284">
        <f t="shared" si="3"/>
        <v>15</v>
      </c>
      <c r="S30" s="284">
        <v>0</v>
      </c>
      <c r="T30" s="284">
        <f t="shared" si="4"/>
        <v>0</v>
      </c>
      <c r="U30" s="284"/>
      <c r="V30" s="284"/>
      <c r="W30" s="284"/>
      <c r="X30" s="284"/>
      <c r="Y30" s="284"/>
      <c r="Z30" s="284"/>
      <c r="AA30" s="284"/>
      <c r="AB30" s="284"/>
      <c r="AC30" s="284"/>
      <c r="AD30" s="284"/>
      <c r="AE30" s="284"/>
      <c r="AF30" s="284"/>
      <c r="AG30" s="284"/>
      <c r="AH30" s="284"/>
      <c r="AI30" s="284"/>
      <c r="AJ30" s="284"/>
      <c r="AK30" s="630"/>
      <c r="AL30" s="263"/>
      <c r="AM30" s="263"/>
      <c r="AN30" s="263"/>
      <c r="AO30" s="263"/>
      <c r="AP30" s="263"/>
      <c r="AQ30" s="263"/>
      <c r="AR30" s="263"/>
      <c r="AS30" s="263"/>
      <c r="AT30" s="263"/>
      <c r="AU30" s="263"/>
    </row>
    <row r="31" spans="1:47" s="306" customFormat="1" ht="23.25">
      <c r="A31" s="304" t="s">
        <v>250</v>
      </c>
      <c r="B31" s="304" t="s">
        <v>611</v>
      </c>
      <c r="C31" s="284" t="s">
        <v>794</v>
      </c>
      <c r="D31" s="284"/>
      <c r="E31" s="284"/>
      <c r="F31" s="284"/>
      <c r="G31" s="284"/>
      <c r="H31" s="284"/>
      <c r="I31" s="284"/>
      <c r="J31" s="284">
        <v>0</v>
      </c>
      <c r="K31" s="287">
        <f t="shared" si="0"/>
        <v>0</v>
      </c>
      <c r="L31" s="351">
        <v>0</v>
      </c>
      <c r="M31" s="284">
        <v>1</v>
      </c>
      <c r="N31" s="339">
        <f t="shared" si="1"/>
        <v>0</v>
      </c>
      <c r="O31" s="287">
        <v>0</v>
      </c>
      <c r="P31" s="284">
        <v>0</v>
      </c>
      <c r="Q31" s="287">
        <f t="shared" si="2"/>
        <v>0</v>
      </c>
      <c r="R31" s="284">
        <v>0</v>
      </c>
      <c r="S31" s="284">
        <v>0</v>
      </c>
      <c r="T31" s="284">
        <f t="shared" si="4"/>
        <v>0</v>
      </c>
      <c r="U31" s="287">
        <v>5</v>
      </c>
      <c r="V31" s="283">
        <v>0.12</v>
      </c>
      <c r="W31" s="287">
        <v>1.5</v>
      </c>
      <c r="X31" s="287">
        <v>5</v>
      </c>
      <c r="Y31" s="287"/>
      <c r="Z31" s="287">
        <f>V31/U31*X31</f>
        <v>0.12</v>
      </c>
      <c r="AA31" s="287"/>
      <c r="AB31" s="287"/>
      <c r="AC31" s="287"/>
      <c r="AD31" s="287"/>
      <c r="AE31" s="287"/>
      <c r="AF31" s="287"/>
      <c r="AG31" s="287">
        <v>15</v>
      </c>
      <c r="AH31" s="287">
        <v>0.37</v>
      </c>
      <c r="AI31" s="284"/>
      <c r="AJ31" s="284"/>
      <c r="AK31" s="630"/>
      <c r="AL31" s="305"/>
      <c r="AM31" s="305"/>
      <c r="AN31" s="305"/>
      <c r="AO31" s="305"/>
      <c r="AP31" s="305"/>
      <c r="AQ31" s="305"/>
      <c r="AR31" s="305"/>
      <c r="AS31" s="305"/>
      <c r="AT31" s="305"/>
      <c r="AU31" s="305"/>
    </row>
    <row r="32" spans="1:47" s="306" customFormat="1" ht="23.25">
      <c r="A32" s="308" t="s">
        <v>216</v>
      </c>
      <c r="B32" s="308" t="s">
        <v>612</v>
      </c>
      <c r="C32" s="284" t="s">
        <v>794</v>
      </c>
      <c r="D32" s="284"/>
      <c r="E32" s="284"/>
      <c r="F32" s="284"/>
      <c r="G32" s="284"/>
      <c r="H32" s="284"/>
      <c r="I32" s="284"/>
      <c r="J32" s="284">
        <v>2</v>
      </c>
      <c r="K32" s="287">
        <f t="shared" si="0"/>
        <v>0.13084209975401687</v>
      </c>
      <c r="L32" s="351">
        <v>2</v>
      </c>
      <c r="M32" s="284">
        <v>1</v>
      </c>
      <c r="N32" s="339">
        <f t="shared" si="1"/>
        <v>6.5421049877008433E-2</v>
      </c>
      <c r="O32" s="287">
        <v>1</v>
      </c>
      <c r="P32" s="284">
        <v>1</v>
      </c>
      <c r="Q32" s="287">
        <f t="shared" si="2"/>
        <v>6.5421049877008433E-2</v>
      </c>
      <c r="R32" s="284">
        <f t="shared" si="3"/>
        <v>100</v>
      </c>
      <c r="S32" s="284">
        <v>0</v>
      </c>
      <c r="T32" s="284">
        <f t="shared" si="4"/>
        <v>0</v>
      </c>
      <c r="U32" s="284">
        <v>0</v>
      </c>
      <c r="V32" s="283">
        <v>0</v>
      </c>
      <c r="W32" s="284">
        <v>0</v>
      </c>
      <c r="X32" s="284">
        <v>6</v>
      </c>
      <c r="Y32" s="284"/>
      <c r="Z32" s="287">
        <f>K32/J32*X32</f>
        <v>0.39252629926205063</v>
      </c>
      <c r="AA32" s="287"/>
      <c r="AB32" s="287"/>
      <c r="AC32" s="287"/>
      <c r="AD32" s="287"/>
      <c r="AE32" s="287"/>
      <c r="AF32" s="287"/>
      <c r="AG32" s="287">
        <f t="shared" ref="AG32:AG33" si="5">X32+P32</f>
        <v>7</v>
      </c>
      <c r="AH32" s="287">
        <v>1.48</v>
      </c>
      <c r="AI32" s="284"/>
      <c r="AJ32" s="284"/>
      <c r="AK32" s="630"/>
      <c r="AL32" s="305"/>
      <c r="AM32" s="305"/>
      <c r="AN32" s="305"/>
      <c r="AO32" s="305"/>
      <c r="AP32" s="305"/>
      <c r="AQ32" s="305"/>
      <c r="AR32" s="305"/>
      <c r="AS32" s="305"/>
      <c r="AT32" s="305"/>
      <c r="AU32" s="305"/>
    </row>
    <row r="33" spans="1:47" s="306" customFormat="1" ht="23.25">
      <c r="A33" s="308" t="s">
        <v>399</v>
      </c>
      <c r="B33" s="308" t="s">
        <v>613</v>
      </c>
      <c r="C33" s="284" t="s">
        <v>794</v>
      </c>
      <c r="D33" s="284"/>
      <c r="E33" s="284"/>
      <c r="F33" s="284"/>
      <c r="G33" s="284"/>
      <c r="H33" s="284"/>
      <c r="I33" s="284"/>
      <c r="J33" s="284">
        <v>1</v>
      </c>
      <c r="K33" s="287">
        <f t="shared" si="0"/>
        <v>0.32710524938504215</v>
      </c>
      <c r="L33" s="351">
        <v>5</v>
      </c>
      <c r="M33" s="284">
        <v>0</v>
      </c>
      <c r="N33" s="339">
        <f t="shared" si="1"/>
        <v>0</v>
      </c>
      <c r="O33" s="287">
        <v>0</v>
      </c>
      <c r="P33" s="284">
        <v>0</v>
      </c>
      <c r="Q33" s="287">
        <f t="shared" si="2"/>
        <v>0</v>
      </c>
      <c r="R33" s="284">
        <f t="shared" si="3"/>
        <v>0</v>
      </c>
      <c r="S33" s="284">
        <v>0</v>
      </c>
      <c r="T33" s="284">
        <f t="shared" si="4"/>
        <v>0</v>
      </c>
      <c r="U33" s="284">
        <v>1</v>
      </c>
      <c r="V33" s="283">
        <v>0.02</v>
      </c>
      <c r="W33" s="284">
        <v>0.2</v>
      </c>
      <c r="X33" s="284">
        <v>0</v>
      </c>
      <c r="Y33" s="284"/>
      <c r="Z33" s="287">
        <f t="shared" ref="Z33:Z46" si="6">V33/U33*X33</f>
        <v>0</v>
      </c>
      <c r="AA33" s="287"/>
      <c r="AB33" s="287"/>
      <c r="AC33" s="287"/>
      <c r="AD33" s="287"/>
      <c r="AE33" s="287"/>
      <c r="AF33" s="287"/>
      <c r="AG33" s="287">
        <f t="shared" si="5"/>
        <v>0</v>
      </c>
      <c r="AH33" s="287">
        <f>K33/J33*AG33</f>
        <v>0</v>
      </c>
      <c r="AI33" s="284"/>
      <c r="AJ33" s="284"/>
      <c r="AK33" s="630"/>
      <c r="AL33" s="305"/>
      <c r="AM33" s="305"/>
      <c r="AN33" s="305"/>
      <c r="AO33" s="305"/>
      <c r="AP33" s="305"/>
      <c r="AQ33" s="305"/>
      <c r="AR33" s="305"/>
      <c r="AS33" s="305"/>
      <c r="AT33" s="305"/>
      <c r="AU33" s="305"/>
    </row>
    <row r="34" spans="1:47" s="306" customFormat="1" ht="23.25">
      <c r="A34" s="308" t="s">
        <v>401</v>
      </c>
      <c r="B34" s="308" t="s">
        <v>614</v>
      </c>
      <c r="C34" s="284" t="s">
        <v>796</v>
      </c>
      <c r="D34" s="284"/>
      <c r="E34" s="284"/>
      <c r="F34" s="284"/>
      <c r="G34" s="284"/>
      <c r="H34" s="284"/>
      <c r="I34" s="284"/>
      <c r="J34" s="284">
        <v>1</v>
      </c>
      <c r="K34" s="287">
        <f t="shared" si="0"/>
        <v>0.32710524938504215</v>
      </c>
      <c r="L34" s="351">
        <v>5</v>
      </c>
      <c r="M34" s="284">
        <v>0</v>
      </c>
      <c r="N34" s="339">
        <f t="shared" si="1"/>
        <v>0</v>
      </c>
      <c r="O34" s="287">
        <v>0</v>
      </c>
      <c r="P34" s="284">
        <v>0</v>
      </c>
      <c r="Q34" s="287">
        <f t="shared" si="2"/>
        <v>0</v>
      </c>
      <c r="R34" s="284">
        <f t="shared" si="3"/>
        <v>0</v>
      </c>
      <c r="S34" s="284">
        <v>0</v>
      </c>
      <c r="T34" s="284">
        <f t="shared" si="4"/>
        <v>0</v>
      </c>
      <c r="U34" s="284"/>
      <c r="V34" s="283"/>
      <c r="W34" s="284"/>
      <c r="X34" s="284"/>
      <c r="Y34" s="284"/>
      <c r="Z34" s="284"/>
      <c r="AA34" s="284"/>
      <c r="AB34" s="284"/>
      <c r="AC34" s="284"/>
      <c r="AD34" s="284"/>
      <c r="AE34" s="284"/>
      <c r="AF34" s="284"/>
      <c r="AG34" s="284"/>
      <c r="AH34" s="284"/>
      <c r="AI34" s="284"/>
      <c r="AJ34" s="284"/>
      <c r="AK34" s="630"/>
      <c r="AL34" s="305"/>
      <c r="AM34" s="305"/>
      <c r="AN34" s="305"/>
      <c r="AO34" s="305"/>
      <c r="AP34" s="305"/>
      <c r="AQ34" s="305"/>
      <c r="AR34" s="305"/>
      <c r="AS34" s="305"/>
      <c r="AT34" s="305"/>
      <c r="AU34" s="305"/>
    </row>
    <row r="35" spans="1:47" s="306" customFormat="1" ht="23.25">
      <c r="A35" s="308" t="s">
        <v>404</v>
      </c>
      <c r="B35" s="297" t="s">
        <v>615</v>
      </c>
      <c r="C35" s="352" t="s">
        <v>794</v>
      </c>
      <c r="D35" s="284"/>
      <c r="E35" s="284"/>
      <c r="F35" s="284"/>
      <c r="G35" s="284"/>
      <c r="H35" s="284"/>
      <c r="I35" s="284"/>
      <c r="J35" s="284">
        <v>1</v>
      </c>
      <c r="K35" s="287">
        <f t="shared" si="0"/>
        <v>3.2710524938504215</v>
      </c>
      <c r="L35" s="351">
        <v>50</v>
      </c>
      <c r="M35" s="284">
        <v>1</v>
      </c>
      <c r="N35" s="339">
        <f t="shared" si="1"/>
        <v>1.3084209975401686</v>
      </c>
      <c r="O35" s="287">
        <v>20</v>
      </c>
      <c r="P35" s="284">
        <v>0</v>
      </c>
      <c r="Q35" s="287">
        <f t="shared" si="2"/>
        <v>0</v>
      </c>
      <c r="R35" s="284">
        <f t="shared" si="3"/>
        <v>0</v>
      </c>
      <c r="S35" s="284">
        <v>0</v>
      </c>
      <c r="T35" s="284">
        <f t="shared" si="4"/>
        <v>0</v>
      </c>
      <c r="U35" s="284">
        <v>1</v>
      </c>
      <c r="V35" s="284">
        <v>8.23</v>
      </c>
      <c r="W35" s="284">
        <v>100</v>
      </c>
      <c r="X35" s="284">
        <v>0</v>
      </c>
      <c r="Y35" s="284"/>
      <c r="Z35" s="284">
        <v>0</v>
      </c>
      <c r="AA35" s="284"/>
      <c r="AB35" s="284"/>
      <c r="AC35" s="284"/>
      <c r="AD35" s="284"/>
      <c r="AE35" s="284"/>
      <c r="AF35" s="284"/>
      <c r="AG35" s="284">
        <v>0</v>
      </c>
      <c r="AH35" s="284">
        <v>0</v>
      </c>
      <c r="AI35" s="284"/>
      <c r="AJ35" s="284"/>
      <c r="AK35" s="630"/>
      <c r="AL35" s="305"/>
      <c r="AM35" s="305"/>
      <c r="AN35" s="305"/>
      <c r="AO35" s="305"/>
      <c r="AP35" s="305"/>
      <c r="AQ35" s="305"/>
      <c r="AR35" s="305"/>
      <c r="AS35" s="305"/>
      <c r="AT35" s="305"/>
      <c r="AU35" s="305"/>
    </row>
    <row r="36" spans="1:47" s="306" customFormat="1" ht="23.25">
      <c r="A36" s="308" t="s">
        <v>406</v>
      </c>
      <c r="B36" s="304" t="s">
        <v>540</v>
      </c>
      <c r="C36" s="283" t="s">
        <v>797</v>
      </c>
      <c r="D36" s="284"/>
      <c r="E36" s="284"/>
      <c r="F36" s="284"/>
      <c r="G36" s="284"/>
      <c r="H36" s="284"/>
      <c r="I36" s="284"/>
      <c r="J36" s="284">
        <v>1</v>
      </c>
      <c r="K36" s="287">
        <f t="shared" si="0"/>
        <v>3.2710524938504215</v>
      </c>
      <c r="L36" s="351">
        <v>50</v>
      </c>
      <c r="M36" s="284">
        <v>1</v>
      </c>
      <c r="N36" s="339">
        <f t="shared" si="1"/>
        <v>1.3084209975401686</v>
      </c>
      <c r="O36" s="287">
        <v>20</v>
      </c>
      <c r="P36" s="284">
        <v>1</v>
      </c>
      <c r="Q36" s="287">
        <f t="shared" si="2"/>
        <v>1.3084209975401686</v>
      </c>
      <c r="R36" s="284">
        <f t="shared" si="3"/>
        <v>100</v>
      </c>
      <c r="S36" s="284">
        <v>0</v>
      </c>
      <c r="T36" s="284">
        <f t="shared" si="4"/>
        <v>0</v>
      </c>
      <c r="U36" s="284">
        <v>0</v>
      </c>
      <c r="V36" s="284">
        <v>0</v>
      </c>
      <c r="W36" s="284">
        <v>0</v>
      </c>
      <c r="X36" s="284">
        <v>0</v>
      </c>
      <c r="Y36" s="284"/>
      <c r="Z36" s="284">
        <v>0</v>
      </c>
      <c r="AA36" s="284"/>
      <c r="AB36" s="284"/>
      <c r="AC36" s="284"/>
      <c r="AD36" s="284"/>
      <c r="AE36" s="284"/>
      <c r="AF36" s="284"/>
      <c r="AG36" s="284">
        <v>0</v>
      </c>
      <c r="AH36" s="284">
        <v>0</v>
      </c>
      <c r="AI36" s="284"/>
      <c r="AJ36" s="284"/>
      <c r="AK36" s="630"/>
      <c r="AL36" s="305"/>
      <c r="AM36" s="305"/>
      <c r="AN36" s="305"/>
      <c r="AO36" s="305"/>
      <c r="AP36" s="305"/>
      <c r="AQ36" s="305"/>
      <c r="AR36" s="305"/>
      <c r="AS36" s="305"/>
      <c r="AT36" s="305"/>
      <c r="AU36" s="305"/>
    </row>
    <row r="37" spans="1:47" s="306" customFormat="1" ht="23.25">
      <c r="A37" s="308" t="s">
        <v>407</v>
      </c>
      <c r="B37" s="297" t="s">
        <v>616</v>
      </c>
      <c r="C37" s="352" t="s">
        <v>794</v>
      </c>
      <c r="D37" s="284"/>
      <c r="E37" s="284"/>
      <c r="F37" s="284"/>
      <c r="G37" s="284"/>
      <c r="H37" s="284"/>
      <c r="I37" s="284"/>
      <c r="J37" s="284">
        <v>1</v>
      </c>
      <c r="K37" s="287">
        <f t="shared" si="0"/>
        <v>0.32710524938504215</v>
      </c>
      <c r="L37" s="351">
        <v>5</v>
      </c>
      <c r="M37" s="284">
        <v>1</v>
      </c>
      <c r="N37" s="339">
        <f t="shared" si="1"/>
        <v>0.32710524938504215</v>
      </c>
      <c r="O37" s="287">
        <v>5</v>
      </c>
      <c r="P37" s="284">
        <v>0</v>
      </c>
      <c r="Q37" s="287">
        <f t="shared" si="2"/>
        <v>0</v>
      </c>
      <c r="R37" s="284">
        <f t="shared" si="3"/>
        <v>0</v>
      </c>
      <c r="S37" s="284">
        <v>0</v>
      </c>
      <c r="T37" s="284">
        <f t="shared" si="4"/>
        <v>0</v>
      </c>
      <c r="U37" s="287">
        <v>0.2</v>
      </c>
      <c r="V37" s="283">
        <v>1.65</v>
      </c>
      <c r="W37" s="287">
        <v>20</v>
      </c>
      <c r="X37" s="287">
        <f>U37</f>
        <v>0.2</v>
      </c>
      <c r="Y37" s="287"/>
      <c r="Z37" s="287">
        <v>1.65</v>
      </c>
      <c r="AA37" s="287"/>
      <c r="AB37" s="287"/>
      <c r="AC37" s="287"/>
      <c r="AD37" s="287"/>
      <c r="AE37" s="287"/>
      <c r="AF37" s="287"/>
      <c r="AG37" s="287">
        <v>1</v>
      </c>
      <c r="AH37" s="287">
        <f t="shared" ref="AH37:AH46" si="7">K37/J37*AG37</f>
        <v>0.32710524938504215</v>
      </c>
      <c r="AI37" s="284"/>
      <c r="AJ37" s="284"/>
      <c r="AK37" s="630"/>
      <c r="AL37" s="305"/>
      <c r="AM37" s="305"/>
      <c r="AN37" s="305"/>
      <c r="AO37" s="305"/>
      <c r="AP37" s="305"/>
      <c r="AQ37" s="305"/>
      <c r="AR37" s="305"/>
      <c r="AS37" s="305"/>
      <c r="AT37" s="305"/>
      <c r="AU37" s="305"/>
    </row>
    <row r="38" spans="1:47" s="306" customFormat="1" ht="23.25">
      <c r="A38" s="308" t="s">
        <v>409</v>
      </c>
      <c r="B38" s="304" t="s">
        <v>540</v>
      </c>
      <c r="C38" s="341" t="s">
        <v>797</v>
      </c>
      <c r="D38" s="284"/>
      <c r="E38" s="284"/>
      <c r="F38" s="284"/>
      <c r="G38" s="284"/>
      <c r="H38" s="284"/>
      <c r="I38" s="284"/>
      <c r="J38" s="284">
        <v>1</v>
      </c>
      <c r="K38" s="287">
        <f t="shared" si="0"/>
        <v>0.32710524938504215</v>
      </c>
      <c r="L38" s="351">
        <v>5</v>
      </c>
      <c r="M38" s="284">
        <v>1</v>
      </c>
      <c r="N38" s="339">
        <f t="shared" si="1"/>
        <v>0.32710524938504215</v>
      </c>
      <c r="O38" s="287">
        <v>5</v>
      </c>
      <c r="P38" s="284">
        <v>0.5</v>
      </c>
      <c r="Q38" s="287">
        <f t="shared" si="2"/>
        <v>0.16355262469252108</v>
      </c>
      <c r="R38" s="284">
        <f t="shared" si="3"/>
        <v>50</v>
      </c>
      <c r="S38" s="284">
        <v>0</v>
      </c>
      <c r="T38" s="284">
        <f t="shared" si="4"/>
        <v>0</v>
      </c>
      <c r="U38" s="287"/>
      <c r="V38" s="283"/>
      <c r="W38" s="287"/>
      <c r="X38" s="287"/>
      <c r="Y38" s="287"/>
      <c r="Z38" s="287"/>
      <c r="AA38" s="287"/>
      <c r="AB38" s="287"/>
      <c r="AC38" s="287"/>
      <c r="AD38" s="287"/>
      <c r="AE38" s="287"/>
      <c r="AF38" s="287"/>
      <c r="AG38" s="287"/>
      <c r="AH38" s="287"/>
      <c r="AI38" s="284"/>
      <c r="AJ38" s="284"/>
      <c r="AK38" s="630"/>
      <c r="AL38" s="305"/>
      <c r="AM38" s="305"/>
      <c r="AN38" s="305"/>
      <c r="AO38" s="305"/>
      <c r="AP38" s="305"/>
      <c r="AQ38" s="305"/>
      <c r="AR38" s="305"/>
      <c r="AS38" s="305"/>
      <c r="AT38" s="305"/>
      <c r="AU38" s="305"/>
    </row>
    <row r="39" spans="1:47" s="306" customFormat="1" ht="23.25">
      <c r="A39" s="308" t="s">
        <v>414</v>
      </c>
      <c r="B39" s="308" t="s">
        <v>617</v>
      </c>
      <c r="C39" s="352" t="s">
        <v>794</v>
      </c>
      <c r="D39" s="284"/>
      <c r="E39" s="284"/>
      <c r="F39" s="284"/>
      <c r="G39" s="284"/>
      <c r="H39" s="284"/>
      <c r="I39" s="284"/>
      <c r="J39" s="284">
        <v>1</v>
      </c>
      <c r="K39" s="287">
        <f t="shared" si="0"/>
        <v>0.39252629926205052</v>
      </c>
      <c r="L39" s="351">
        <v>6</v>
      </c>
      <c r="M39" s="284">
        <v>0</v>
      </c>
      <c r="N39" s="339">
        <f t="shared" si="1"/>
        <v>0</v>
      </c>
      <c r="O39" s="287">
        <v>0</v>
      </c>
      <c r="P39" s="284">
        <v>0</v>
      </c>
      <c r="Q39" s="287">
        <f t="shared" si="2"/>
        <v>0</v>
      </c>
      <c r="R39" s="284">
        <f t="shared" si="3"/>
        <v>0</v>
      </c>
      <c r="S39" s="284">
        <v>0</v>
      </c>
      <c r="T39" s="284">
        <f t="shared" si="4"/>
        <v>0</v>
      </c>
      <c r="U39" s="287"/>
      <c r="V39" s="283"/>
      <c r="W39" s="287"/>
      <c r="X39" s="287"/>
      <c r="Y39" s="287"/>
      <c r="Z39" s="287"/>
      <c r="AA39" s="287"/>
      <c r="AB39" s="287"/>
      <c r="AC39" s="287"/>
      <c r="AD39" s="287"/>
      <c r="AE39" s="287"/>
      <c r="AF39" s="287"/>
      <c r="AG39" s="287"/>
      <c r="AH39" s="287"/>
      <c r="AI39" s="284"/>
      <c r="AJ39" s="284"/>
      <c r="AK39" s="630"/>
      <c r="AL39" s="305"/>
      <c r="AM39" s="305"/>
      <c r="AN39" s="305"/>
      <c r="AO39" s="305"/>
      <c r="AP39" s="305"/>
      <c r="AQ39" s="305"/>
      <c r="AR39" s="305"/>
      <c r="AS39" s="305"/>
      <c r="AT39" s="305"/>
      <c r="AU39" s="305"/>
    </row>
    <row r="40" spans="1:47" s="306" customFormat="1" ht="23.25">
      <c r="A40" s="308" t="s">
        <v>416</v>
      </c>
      <c r="B40" s="304" t="s">
        <v>540</v>
      </c>
      <c r="C40" s="341" t="s">
        <v>797</v>
      </c>
      <c r="D40" s="284"/>
      <c r="E40" s="284"/>
      <c r="F40" s="284"/>
      <c r="G40" s="284"/>
      <c r="H40" s="284"/>
      <c r="I40" s="284"/>
      <c r="J40" s="284">
        <v>1</v>
      </c>
      <c r="K40" s="287">
        <f t="shared" si="0"/>
        <v>0.39252629926205052</v>
      </c>
      <c r="L40" s="351">
        <v>6</v>
      </c>
      <c r="M40" s="284">
        <v>0</v>
      </c>
      <c r="N40" s="339">
        <f t="shared" si="1"/>
        <v>0</v>
      </c>
      <c r="O40" s="287">
        <v>0</v>
      </c>
      <c r="P40" s="284">
        <v>0</v>
      </c>
      <c r="Q40" s="287">
        <f t="shared" si="2"/>
        <v>0</v>
      </c>
      <c r="R40" s="284">
        <f t="shared" si="3"/>
        <v>0</v>
      </c>
      <c r="S40" s="284">
        <v>0</v>
      </c>
      <c r="T40" s="284">
        <f t="shared" si="4"/>
        <v>0</v>
      </c>
      <c r="U40" s="287"/>
      <c r="V40" s="283"/>
      <c r="W40" s="287"/>
      <c r="X40" s="287"/>
      <c r="Y40" s="287"/>
      <c r="Z40" s="287"/>
      <c r="AA40" s="287"/>
      <c r="AB40" s="287"/>
      <c r="AC40" s="287"/>
      <c r="AD40" s="287"/>
      <c r="AE40" s="287"/>
      <c r="AF40" s="287"/>
      <c r="AG40" s="287"/>
      <c r="AH40" s="287"/>
      <c r="AI40" s="284"/>
      <c r="AJ40" s="284"/>
      <c r="AK40" s="630"/>
      <c r="AL40" s="305"/>
      <c r="AM40" s="305"/>
      <c r="AN40" s="305"/>
      <c r="AO40" s="305"/>
      <c r="AP40" s="305"/>
      <c r="AQ40" s="305"/>
      <c r="AR40" s="305"/>
      <c r="AS40" s="305"/>
      <c r="AT40" s="305"/>
      <c r="AU40" s="305"/>
    </row>
    <row r="41" spans="1:47" s="306" customFormat="1" ht="23.25">
      <c r="A41" s="308" t="s">
        <v>417</v>
      </c>
      <c r="B41" s="308" t="s">
        <v>618</v>
      </c>
      <c r="C41" s="352" t="s">
        <v>794</v>
      </c>
      <c r="D41" s="284"/>
      <c r="E41" s="284"/>
      <c r="F41" s="284"/>
      <c r="G41" s="284"/>
      <c r="H41" s="284"/>
      <c r="I41" s="284"/>
      <c r="J41" s="284">
        <v>1</v>
      </c>
      <c r="K41" s="287">
        <f t="shared" si="0"/>
        <v>0.78505259852410103</v>
      </c>
      <c r="L41" s="351">
        <v>12</v>
      </c>
      <c r="M41" s="284">
        <v>1</v>
      </c>
      <c r="N41" s="339">
        <f t="shared" si="1"/>
        <v>0.32710524938504215</v>
      </c>
      <c r="O41" s="287">
        <v>5</v>
      </c>
      <c r="P41" s="284">
        <v>0</v>
      </c>
      <c r="Q41" s="287">
        <f t="shared" si="2"/>
        <v>0</v>
      </c>
      <c r="R41" s="284">
        <f t="shared" si="3"/>
        <v>0</v>
      </c>
      <c r="S41" s="284">
        <v>0</v>
      </c>
      <c r="T41" s="284">
        <f t="shared" si="4"/>
        <v>0</v>
      </c>
      <c r="U41" s="287"/>
      <c r="V41" s="283"/>
      <c r="W41" s="287"/>
      <c r="X41" s="287"/>
      <c r="Y41" s="287"/>
      <c r="Z41" s="287"/>
      <c r="AA41" s="287"/>
      <c r="AB41" s="287"/>
      <c r="AC41" s="287"/>
      <c r="AD41" s="287"/>
      <c r="AE41" s="287"/>
      <c r="AF41" s="287"/>
      <c r="AG41" s="287"/>
      <c r="AH41" s="287"/>
      <c r="AI41" s="284"/>
      <c r="AJ41" s="284"/>
      <c r="AK41" s="630"/>
      <c r="AL41" s="305"/>
      <c r="AM41" s="305"/>
      <c r="AN41" s="305"/>
      <c r="AO41" s="305"/>
      <c r="AP41" s="305"/>
      <c r="AQ41" s="305"/>
      <c r="AR41" s="305"/>
      <c r="AS41" s="305"/>
      <c r="AT41" s="305"/>
      <c r="AU41" s="305"/>
    </row>
    <row r="42" spans="1:47" s="306" customFormat="1" ht="23.25">
      <c r="A42" s="308" t="s">
        <v>419</v>
      </c>
      <c r="B42" s="304" t="s">
        <v>540</v>
      </c>
      <c r="C42" s="341" t="s">
        <v>797</v>
      </c>
      <c r="D42" s="284"/>
      <c r="E42" s="284"/>
      <c r="F42" s="284"/>
      <c r="G42" s="284"/>
      <c r="H42" s="284"/>
      <c r="I42" s="284"/>
      <c r="J42" s="284">
        <v>1</v>
      </c>
      <c r="K42" s="287">
        <f t="shared" si="0"/>
        <v>0.78505259852410103</v>
      </c>
      <c r="L42" s="351">
        <v>12</v>
      </c>
      <c r="M42" s="284">
        <v>1</v>
      </c>
      <c r="N42" s="339">
        <f t="shared" si="1"/>
        <v>0.32710524938504215</v>
      </c>
      <c r="O42" s="287">
        <v>5</v>
      </c>
      <c r="P42" s="284">
        <v>1</v>
      </c>
      <c r="Q42" s="287">
        <f t="shared" si="2"/>
        <v>0.32710524938504215</v>
      </c>
      <c r="R42" s="284">
        <f t="shared" si="3"/>
        <v>100</v>
      </c>
      <c r="S42" s="284">
        <v>0</v>
      </c>
      <c r="T42" s="284">
        <f t="shared" si="4"/>
        <v>0</v>
      </c>
      <c r="U42" s="287"/>
      <c r="V42" s="283"/>
      <c r="W42" s="287"/>
      <c r="X42" s="287"/>
      <c r="Y42" s="287"/>
      <c r="Z42" s="287"/>
      <c r="AA42" s="287"/>
      <c r="AB42" s="287"/>
      <c r="AC42" s="287"/>
      <c r="AD42" s="287"/>
      <c r="AE42" s="287"/>
      <c r="AF42" s="287"/>
      <c r="AG42" s="287"/>
      <c r="AH42" s="287"/>
      <c r="AI42" s="284"/>
      <c r="AJ42" s="284"/>
      <c r="AK42" s="630"/>
      <c r="AL42" s="305"/>
      <c r="AM42" s="305"/>
      <c r="AN42" s="305"/>
      <c r="AO42" s="305"/>
      <c r="AP42" s="305"/>
      <c r="AQ42" s="305"/>
      <c r="AR42" s="305"/>
      <c r="AS42" s="305"/>
      <c r="AT42" s="305"/>
      <c r="AU42" s="305"/>
    </row>
    <row r="43" spans="1:47" s="306" customFormat="1" ht="23.25">
      <c r="A43" s="308" t="s">
        <v>420</v>
      </c>
      <c r="B43" s="308" t="s">
        <v>619</v>
      </c>
      <c r="C43" s="283" t="s">
        <v>794</v>
      </c>
      <c r="D43" s="284"/>
      <c r="E43" s="284"/>
      <c r="F43" s="284"/>
      <c r="G43" s="284"/>
      <c r="H43" s="284"/>
      <c r="I43" s="284"/>
      <c r="J43" s="284">
        <v>1</v>
      </c>
      <c r="K43" s="287">
        <f t="shared" si="0"/>
        <v>0.39252629926205052</v>
      </c>
      <c r="L43" s="351">
        <v>6</v>
      </c>
      <c r="M43" s="284">
        <v>0</v>
      </c>
      <c r="N43" s="339">
        <f t="shared" si="1"/>
        <v>0</v>
      </c>
      <c r="O43" s="287">
        <v>0</v>
      </c>
      <c r="P43" s="284">
        <v>0</v>
      </c>
      <c r="Q43" s="287">
        <f t="shared" si="2"/>
        <v>0</v>
      </c>
      <c r="R43" s="284">
        <f t="shared" si="3"/>
        <v>0</v>
      </c>
      <c r="S43" s="284">
        <v>0</v>
      </c>
      <c r="T43" s="284">
        <f t="shared" si="4"/>
        <v>0</v>
      </c>
      <c r="U43" s="287"/>
      <c r="V43" s="283"/>
      <c r="W43" s="287"/>
      <c r="X43" s="287"/>
      <c r="Y43" s="287"/>
      <c r="Z43" s="287"/>
      <c r="AA43" s="287"/>
      <c r="AB43" s="287"/>
      <c r="AC43" s="287"/>
      <c r="AD43" s="287"/>
      <c r="AE43" s="287"/>
      <c r="AF43" s="287"/>
      <c r="AG43" s="287"/>
      <c r="AH43" s="287"/>
      <c r="AI43" s="284"/>
      <c r="AJ43" s="284"/>
      <c r="AK43" s="630"/>
      <c r="AL43" s="305"/>
      <c r="AM43" s="305"/>
      <c r="AN43" s="305"/>
      <c r="AO43" s="305"/>
      <c r="AP43" s="305"/>
      <c r="AQ43" s="305"/>
      <c r="AR43" s="305"/>
      <c r="AS43" s="305"/>
      <c r="AT43" s="305"/>
      <c r="AU43" s="305"/>
    </row>
    <row r="44" spans="1:47" s="306" customFormat="1" ht="23.25">
      <c r="A44" s="308" t="s">
        <v>422</v>
      </c>
      <c r="B44" s="304" t="s">
        <v>540</v>
      </c>
      <c r="C44" s="283" t="s">
        <v>797</v>
      </c>
      <c r="D44" s="284"/>
      <c r="E44" s="284"/>
      <c r="F44" s="284"/>
      <c r="G44" s="284"/>
      <c r="H44" s="284"/>
      <c r="I44" s="284"/>
      <c r="J44" s="284">
        <v>1</v>
      </c>
      <c r="K44" s="287">
        <f t="shared" si="0"/>
        <v>0.39252629926205052</v>
      </c>
      <c r="L44" s="351">
        <v>6</v>
      </c>
      <c r="M44" s="284">
        <v>0</v>
      </c>
      <c r="N44" s="339">
        <f t="shared" si="1"/>
        <v>0</v>
      </c>
      <c r="O44" s="287">
        <v>0</v>
      </c>
      <c r="P44" s="284">
        <v>0</v>
      </c>
      <c r="Q44" s="287">
        <f t="shared" si="2"/>
        <v>0</v>
      </c>
      <c r="R44" s="284">
        <f t="shared" si="3"/>
        <v>0</v>
      </c>
      <c r="S44" s="284">
        <v>0</v>
      </c>
      <c r="T44" s="284">
        <f t="shared" si="4"/>
        <v>0</v>
      </c>
      <c r="U44" s="287"/>
      <c r="V44" s="283"/>
      <c r="W44" s="287"/>
      <c r="X44" s="287"/>
      <c r="Y44" s="287"/>
      <c r="Z44" s="287"/>
      <c r="AA44" s="287"/>
      <c r="AB44" s="287"/>
      <c r="AC44" s="287"/>
      <c r="AD44" s="287"/>
      <c r="AE44" s="287"/>
      <c r="AF44" s="287"/>
      <c r="AG44" s="287"/>
      <c r="AH44" s="287"/>
      <c r="AI44" s="284"/>
      <c r="AJ44" s="284"/>
      <c r="AK44" s="630"/>
      <c r="AL44" s="305"/>
      <c r="AM44" s="305"/>
      <c r="AN44" s="305"/>
      <c r="AO44" s="305"/>
      <c r="AP44" s="305"/>
      <c r="AQ44" s="305"/>
      <c r="AR44" s="305"/>
      <c r="AS44" s="305"/>
      <c r="AT44" s="305"/>
      <c r="AU44" s="305"/>
    </row>
    <row r="45" spans="1:47" s="306" customFormat="1" ht="23.25">
      <c r="A45" s="308" t="s">
        <v>423</v>
      </c>
      <c r="B45" s="308" t="s">
        <v>620</v>
      </c>
      <c r="C45" s="283" t="s">
        <v>794</v>
      </c>
      <c r="D45" s="284"/>
      <c r="E45" s="284"/>
      <c r="F45" s="284"/>
      <c r="G45" s="284"/>
      <c r="H45" s="284"/>
      <c r="I45" s="284"/>
      <c r="J45" s="284">
        <v>1</v>
      </c>
      <c r="K45" s="287">
        <f t="shared" si="0"/>
        <v>0.39252629926205052</v>
      </c>
      <c r="L45" s="351">
        <v>6</v>
      </c>
      <c r="M45" s="284">
        <v>0</v>
      </c>
      <c r="N45" s="339">
        <f t="shared" si="1"/>
        <v>0</v>
      </c>
      <c r="O45" s="287">
        <v>0</v>
      </c>
      <c r="P45" s="284">
        <v>0</v>
      </c>
      <c r="Q45" s="287">
        <f t="shared" si="2"/>
        <v>0</v>
      </c>
      <c r="R45" s="284">
        <f t="shared" si="3"/>
        <v>0</v>
      </c>
      <c r="S45" s="284">
        <v>0</v>
      </c>
      <c r="T45" s="284">
        <f t="shared" si="4"/>
        <v>0</v>
      </c>
      <c r="U45" s="287">
        <v>0.34</v>
      </c>
      <c r="V45" s="283">
        <v>0.82</v>
      </c>
      <c r="W45" s="287">
        <v>10</v>
      </c>
      <c r="X45" s="287">
        <f t="shared" ref="X45:X46" si="8">U45</f>
        <v>0.34</v>
      </c>
      <c r="Y45" s="287"/>
      <c r="Z45" s="287">
        <v>0.34</v>
      </c>
      <c r="AA45" s="287"/>
      <c r="AB45" s="287"/>
      <c r="AC45" s="287"/>
      <c r="AD45" s="287"/>
      <c r="AE45" s="287"/>
      <c r="AF45" s="287"/>
      <c r="AG45" s="287">
        <v>1</v>
      </c>
      <c r="AH45" s="287">
        <f t="shared" si="7"/>
        <v>0.39252629926205052</v>
      </c>
      <c r="AI45" s="284"/>
      <c r="AJ45" s="284"/>
      <c r="AK45" s="630"/>
      <c r="AL45" s="305"/>
      <c r="AM45" s="305"/>
      <c r="AN45" s="305"/>
      <c r="AO45" s="305"/>
      <c r="AP45" s="305"/>
      <c r="AQ45" s="305"/>
      <c r="AR45" s="305"/>
      <c r="AS45" s="305"/>
      <c r="AT45" s="305"/>
      <c r="AU45" s="305"/>
    </row>
    <row r="46" spans="1:47" s="306" customFormat="1" ht="23.25">
      <c r="A46" s="308" t="s">
        <v>425</v>
      </c>
      <c r="B46" s="304" t="s">
        <v>540</v>
      </c>
      <c r="C46" s="283" t="s">
        <v>797</v>
      </c>
      <c r="D46" s="284"/>
      <c r="E46" s="284"/>
      <c r="F46" s="284"/>
      <c r="G46" s="284"/>
      <c r="H46" s="284"/>
      <c r="I46" s="284"/>
      <c r="J46" s="284">
        <v>1</v>
      </c>
      <c r="K46" s="287">
        <f t="shared" si="0"/>
        <v>0.39252629926205052</v>
      </c>
      <c r="L46" s="351">
        <v>6</v>
      </c>
      <c r="M46" s="284">
        <v>0</v>
      </c>
      <c r="N46" s="339">
        <f t="shared" si="1"/>
        <v>0</v>
      </c>
      <c r="O46" s="287">
        <v>0</v>
      </c>
      <c r="P46" s="284">
        <v>0</v>
      </c>
      <c r="Q46" s="287">
        <f t="shared" si="2"/>
        <v>0</v>
      </c>
      <c r="R46" s="284">
        <f t="shared" si="3"/>
        <v>0</v>
      </c>
      <c r="S46" s="284">
        <v>0</v>
      </c>
      <c r="T46" s="284">
        <f t="shared" si="4"/>
        <v>0</v>
      </c>
      <c r="U46" s="287">
        <v>0.34</v>
      </c>
      <c r="V46" s="283">
        <v>0.28000000000000003</v>
      </c>
      <c r="W46" s="287">
        <v>3.4</v>
      </c>
      <c r="X46" s="287">
        <f t="shared" si="8"/>
        <v>0.34</v>
      </c>
      <c r="Y46" s="287"/>
      <c r="Z46" s="287">
        <f t="shared" si="6"/>
        <v>0.28000000000000003</v>
      </c>
      <c r="AA46" s="287"/>
      <c r="AB46" s="287"/>
      <c r="AC46" s="287"/>
      <c r="AD46" s="287"/>
      <c r="AE46" s="287"/>
      <c r="AF46" s="287"/>
      <c r="AG46" s="287">
        <v>1</v>
      </c>
      <c r="AH46" s="287">
        <f t="shared" si="7"/>
        <v>0.39252629926205052</v>
      </c>
      <c r="AI46" s="284"/>
      <c r="AJ46" s="284"/>
      <c r="AK46" s="630"/>
      <c r="AL46" s="305"/>
      <c r="AM46" s="305"/>
      <c r="AN46" s="305"/>
      <c r="AO46" s="305"/>
      <c r="AP46" s="305"/>
      <c r="AQ46" s="305"/>
      <c r="AR46" s="305"/>
      <c r="AS46" s="305"/>
      <c r="AT46" s="305"/>
      <c r="AU46" s="305"/>
    </row>
    <row r="47" spans="1:47" s="306" customFormat="1" ht="23.25">
      <c r="A47" s="308" t="s">
        <v>426</v>
      </c>
      <c r="B47" s="304" t="s">
        <v>621</v>
      </c>
      <c r="C47" s="283" t="s">
        <v>794</v>
      </c>
      <c r="D47" s="284"/>
      <c r="E47" s="284"/>
      <c r="F47" s="284"/>
      <c r="G47" s="284"/>
      <c r="H47" s="284"/>
      <c r="I47" s="284"/>
      <c r="J47" s="284">
        <v>1</v>
      </c>
      <c r="K47" s="287">
        <f t="shared" si="0"/>
        <v>0.78505259852410103</v>
      </c>
      <c r="L47" s="351">
        <v>12</v>
      </c>
      <c r="M47" s="284">
        <v>1</v>
      </c>
      <c r="N47" s="339">
        <f t="shared" si="1"/>
        <v>0.32710524938504215</v>
      </c>
      <c r="O47" s="287">
        <v>5</v>
      </c>
      <c r="P47" s="284">
        <v>0</v>
      </c>
      <c r="Q47" s="287">
        <f t="shared" si="2"/>
        <v>0</v>
      </c>
      <c r="R47" s="284">
        <f t="shared" si="3"/>
        <v>0</v>
      </c>
      <c r="S47" s="284">
        <v>0</v>
      </c>
      <c r="T47" s="284">
        <f t="shared" si="4"/>
        <v>0</v>
      </c>
      <c r="U47" s="287"/>
      <c r="V47" s="283"/>
      <c r="W47" s="287"/>
      <c r="X47" s="287"/>
      <c r="Y47" s="287"/>
      <c r="Z47" s="287"/>
      <c r="AA47" s="287"/>
      <c r="AB47" s="287"/>
      <c r="AC47" s="287"/>
      <c r="AD47" s="287"/>
      <c r="AE47" s="287"/>
      <c r="AF47" s="287"/>
      <c r="AG47" s="287"/>
      <c r="AH47" s="287"/>
      <c r="AI47" s="284"/>
      <c r="AJ47" s="284"/>
      <c r="AK47" s="630"/>
      <c r="AL47" s="305"/>
      <c r="AM47" s="305"/>
      <c r="AN47" s="305"/>
      <c r="AO47" s="305"/>
      <c r="AP47" s="305"/>
      <c r="AQ47" s="305"/>
      <c r="AR47" s="305"/>
      <c r="AS47" s="305"/>
      <c r="AT47" s="305"/>
      <c r="AU47" s="305"/>
    </row>
    <row r="48" spans="1:47" s="306" customFormat="1" ht="23.25">
      <c r="A48" s="308" t="s">
        <v>428</v>
      </c>
      <c r="B48" s="304" t="s">
        <v>540</v>
      </c>
      <c r="C48" s="283" t="s">
        <v>797</v>
      </c>
      <c r="D48" s="284"/>
      <c r="E48" s="284"/>
      <c r="F48" s="284"/>
      <c r="G48" s="284"/>
      <c r="H48" s="284"/>
      <c r="I48" s="284"/>
      <c r="J48" s="284">
        <v>1</v>
      </c>
      <c r="K48" s="287">
        <f t="shared" si="0"/>
        <v>0.78505259852410103</v>
      </c>
      <c r="L48" s="351">
        <v>12</v>
      </c>
      <c r="M48" s="284">
        <v>1</v>
      </c>
      <c r="N48" s="339">
        <f t="shared" si="1"/>
        <v>0.32710524938504215</v>
      </c>
      <c r="O48" s="287">
        <v>5</v>
      </c>
      <c r="P48" s="284">
        <v>0.1</v>
      </c>
      <c r="Q48" s="287">
        <f t="shared" si="2"/>
        <v>3.2710524938504217E-2</v>
      </c>
      <c r="R48" s="284">
        <f t="shared" si="3"/>
        <v>10</v>
      </c>
      <c r="S48" s="284">
        <v>0</v>
      </c>
      <c r="T48" s="284">
        <f t="shared" si="4"/>
        <v>0</v>
      </c>
      <c r="U48" s="287"/>
      <c r="V48" s="283"/>
      <c r="W48" s="287"/>
      <c r="X48" s="287"/>
      <c r="Y48" s="287"/>
      <c r="Z48" s="287"/>
      <c r="AA48" s="287"/>
      <c r="AB48" s="287"/>
      <c r="AC48" s="287"/>
      <c r="AD48" s="287"/>
      <c r="AE48" s="287"/>
      <c r="AF48" s="287"/>
      <c r="AG48" s="287"/>
      <c r="AH48" s="287"/>
      <c r="AI48" s="284"/>
      <c r="AJ48" s="284"/>
      <c r="AK48" s="630"/>
      <c r="AL48" s="305"/>
      <c r="AM48" s="305"/>
      <c r="AN48" s="305"/>
      <c r="AO48" s="305"/>
      <c r="AP48" s="305"/>
      <c r="AQ48" s="305"/>
      <c r="AR48" s="305"/>
      <c r="AS48" s="305"/>
      <c r="AT48" s="305"/>
      <c r="AU48" s="305"/>
    </row>
    <row r="49" spans="1:47" s="306" customFormat="1" ht="23.25">
      <c r="A49" s="308" t="s">
        <v>429</v>
      </c>
      <c r="B49" s="304" t="s">
        <v>622</v>
      </c>
      <c r="C49" s="283" t="s">
        <v>794</v>
      </c>
      <c r="D49" s="284"/>
      <c r="E49" s="284"/>
      <c r="F49" s="284"/>
      <c r="G49" s="284"/>
      <c r="H49" s="284"/>
      <c r="I49" s="284"/>
      <c r="J49" s="284">
        <v>1</v>
      </c>
      <c r="K49" s="287">
        <f t="shared" si="0"/>
        <v>3.9252629926205054</v>
      </c>
      <c r="L49" s="351">
        <v>60</v>
      </c>
      <c r="M49" s="284">
        <v>1</v>
      </c>
      <c r="N49" s="339">
        <f t="shared" si="1"/>
        <v>0.98131574815512634</v>
      </c>
      <c r="O49" s="287">
        <v>15</v>
      </c>
      <c r="P49" s="284"/>
      <c r="Q49" s="287">
        <f t="shared" si="2"/>
        <v>0</v>
      </c>
      <c r="R49" s="284">
        <f t="shared" si="3"/>
        <v>0</v>
      </c>
      <c r="S49" s="284">
        <v>0</v>
      </c>
      <c r="T49" s="284">
        <f t="shared" si="4"/>
        <v>0</v>
      </c>
      <c r="U49" s="287"/>
      <c r="V49" s="283"/>
      <c r="W49" s="287"/>
      <c r="X49" s="287"/>
      <c r="Y49" s="287"/>
      <c r="Z49" s="287"/>
      <c r="AA49" s="287"/>
      <c r="AB49" s="287"/>
      <c r="AC49" s="287"/>
      <c r="AD49" s="287"/>
      <c r="AE49" s="287"/>
      <c r="AF49" s="287"/>
      <c r="AG49" s="287"/>
      <c r="AH49" s="287"/>
      <c r="AI49" s="284"/>
      <c r="AJ49" s="284"/>
      <c r="AK49" s="630"/>
      <c r="AL49" s="305"/>
      <c r="AM49" s="305"/>
      <c r="AN49" s="305"/>
      <c r="AO49" s="305"/>
      <c r="AP49" s="305"/>
      <c r="AQ49" s="305"/>
      <c r="AR49" s="305"/>
      <c r="AS49" s="305"/>
      <c r="AT49" s="305"/>
      <c r="AU49" s="305"/>
    </row>
    <row r="50" spans="1:47" s="306" customFormat="1" ht="23.25">
      <c r="A50" s="308" t="s">
        <v>431</v>
      </c>
      <c r="B50" s="304" t="s">
        <v>540</v>
      </c>
      <c r="C50" s="283" t="s">
        <v>797</v>
      </c>
      <c r="D50" s="284"/>
      <c r="E50" s="284"/>
      <c r="F50" s="284"/>
      <c r="G50" s="284"/>
      <c r="H50" s="284"/>
      <c r="I50" s="284"/>
      <c r="J50" s="284">
        <v>1</v>
      </c>
      <c r="K50" s="287">
        <f t="shared" si="0"/>
        <v>3.9252629926205054</v>
      </c>
      <c r="L50" s="351">
        <v>60</v>
      </c>
      <c r="M50" s="284">
        <v>1</v>
      </c>
      <c r="N50" s="339">
        <f t="shared" si="1"/>
        <v>0.98131574815512634</v>
      </c>
      <c r="O50" s="287">
        <v>15</v>
      </c>
      <c r="P50" s="284">
        <v>0.3</v>
      </c>
      <c r="Q50" s="287">
        <f t="shared" si="2"/>
        <v>0.29439472444653791</v>
      </c>
      <c r="R50" s="284">
        <f t="shared" si="3"/>
        <v>30</v>
      </c>
      <c r="S50" s="284">
        <v>0</v>
      </c>
      <c r="T50" s="284">
        <f t="shared" si="4"/>
        <v>0</v>
      </c>
      <c r="U50" s="287"/>
      <c r="V50" s="283"/>
      <c r="W50" s="287"/>
      <c r="X50" s="287"/>
      <c r="Y50" s="287"/>
      <c r="Z50" s="287"/>
      <c r="AA50" s="287"/>
      <c r="AB50" s="287"/>
      <c r="AC50" s="287"/>
      <c r="AD50" s="287"/>
      <c r="AE50" s="287"/>
      <c r="AF50" s="287"/>
      <c r="AG50" s="287"/>
      <c r="AH50" s="287"/>
      <c r="AI50" s="284"/>
      <c r="AJ50" s="284"/>
      <c r="AK50" s="630"/>
      <c r="AL50" s="305"/>
      <c r="AM50" s="305"/>
      <c r="AN50" s="305"/>
      <c r="AO50" s="305"/>
      <c r="AP50" s="305"/>
      <c r="AQ50" s="305"/>
      <c r="AR50" s="305"/>
      <c r="AS50" s="305"/>
      <c r="AT50" s="305"/>
      <c r="AU50" s="305"/>
    </row>
    <row r="51" spans="1:47" s="306" customFormat="1" ht="23.25">
      <c r="A51" s="308" t="s">
        <v>432</v>
      </c>
      <c r="B51" s="304" t="s">
        <v>623</v>
      </c>
      <c r="C51" s="283" t="s">
        <v>794</v>
      </c>
      <c r="D51" s="284"/>
      <c r="E51" s="284"/>
      <c r="F51" s="284"/>
      <c r="G51" s="284"/>
      <c r="H51" s="284"/>
      <c r="I51" s="284"/>
      <c r="J51" s="284">
        <v>1</v>
      </c>
      <c r="K51" s="287">
        <f t="shared" si="0"/>
        <v>0.26168419950803373</v>
      </c>
      <c r="L51" s="351">
        <v>4</v>
      </c>
      <c r="M51" s="284">
        <v>0</v>
      </c>
      <c r="N51" s="339">
        <f t="shared" si="1"/>
        <v>0</v>
      </c>
      <c r="O51" s="287">
        <v>0</v>
      </c>
      <c r="P51" s="284">
        <v>0</v>
      </c>
      <c r="Q51" s="287">
        <f t="shared" si="2"/>
        <v>0</v>
      </c>
      <c r="R51" s="284">
        <f t="shared" si="3"/>
        <v>0</v>
      </c>
      <c r="S51" s="284">
        <v>0</v>
      </c>
      <c r="T51" s="284">
        <f t="shared" si="4"/>
        <v>0</v>
      </c>
      <c r="U51" s="287"/>
      <c r="V51" s="283"/>
      <c r="W51" s="287"/>
      <c r="X51" s="287"/>
      <c r="Y51" s="287"/>
      <c r="Z51" s="287"/>
      <c r="AA51" s="287"/>
      <c r="AB51" s="287"/>
      <c r="AC51" s="287"/>
      <c r="AD51" s="287"/>
      <c r="AE51" s="287"/>
      <c r="AF51" s="287"/>
      <c r="AG51" s="287"/>
      <c r="AH51" s="287"/>
      <c r="AI51" s="284"/>
      <c r="AJ51" s="284"/>
      <c r="AK51" s="630"/>
      <c r="AL51" s="305"/>
      <c r="AM51" s="305"/>
      <c r="AN51" s="305"/>
      <c r="AO51" s="305"/>
      <c r="AP51" s="305"/>
      <c r="AQ51" s="305"/>
      <c r="AR51" s="305"/>
      <c r="AS51" s="305"/>
      <c r="AT51" s="305"/>
      <c r="AU51" s="305"/>
    </row>
    <row r="52" spans="1:47" s="306" customFormat="1" ht="23.25">
      <c r="A52" s="308" t="s">
        <v>434</v>
      </c>
      <c r="B52" s="304" t="s">
        <v>540</v>
      </c>
      <c r="C52" s="283" t="s">
        <v>797</v>
      </c>
      <c r="D52" s="284"/>
      <c r="E52" s="284"/>
      <c r="F52" s="284"/>
      <c r="G52" s="284"/>
      <c r="H52" s="284"/>
      <c r="I52" s="284"/>
      <c r="J52" s="284">
        <v>1</v>
      </c>
      <c r="K52" s="287">
        <f t="shared" si="0"/>
        <v>0.26168419950803373</v>
      </c>
      <c r="L52" s="351">
        <v>4</v>
      </c>
      <c r="M52" s="284">
        <v>0</v>
      </c>
      <c r="N52" s="339">
        <f t="shared" si="1"/>
        <v>0</v>
      </c>
      <c r="O52" s="287">
        <v>0</v>
      </c>
      <c r="P52" s="284">
        <v>0</v>
      </c>
      <c r="Q52" s="287">
        <f t="shared" si="2"/>
        <v>0</v>
      </c>
      <c r="R52" s="284">
        <f t="shared" si="3"/>
        <v>0</v>
      </c>
      <c r="S52" s="284">
        <v>0</v>
      </c>
      <c r="T52" s="284">
        <f t="shared" si="4"/>
        <v>0</v>
      </c>
      <c r="U52" s="287"/>
      <c r="V52" s="283"/>
      <c r="W52" s="287"/>
      <c r="X52" s="287"/>
      <c r="Y52" s="287"/>
      <c r="Z52" s="287"/>
      <c r="AA52" s="287"/>
      <c r="AB52" s="287"/>
      <c r="AC52" s="287"/>
      <c r="AD52" s="287"/>
      <c r="AE52" s="287"/>
      <c r="AF52" s="287"/>
      <c r="AG52" s="287"/>
      <c r="AH52" s="287"/>
      <c r="AI52" s="284"/>
      <c r="AJ52" s="284"/>
      <c r="AK52" s="630"/>
      <c r="AL52" s="305"/>
      <c r="AM52" s="305"/>
      <c r="AN52" s="305"/>
      <c r="AO52" s="305"/>
      <c r="AP52" s="305"/>
      <c r="AQ52" s="305"/>
      <c r="AR52" s="305"/>
      <c r="AS52" s="305"/>
      <c r="AT52" s="305"/>
      <c r="AU52" s="305"/>
    </row>
    <row r="53" spans="1:47" s="306" customFormat="1" ht="23.25">
      <c r="A53" s="308" t="s">
        <v>435</v>
      </c>
      <c r="B53" s="304" t="s">
        <v>624</v>
      </c>
      <c r="C53" s="283" t="s">
        <v>794</v>
      </c>
      <c r="D53" s="284"/>
      <c r="E53" s="284"/>
      <c r="F53" s="284"/>
      <c r="G53" s="284"/>
      <c r="H53" s="284"/>
      <c r="I53" s="284"/>
      <c r="J53" s="284">
        <v>1</v>
      </c>
      <c r="K53" s="287">
        <f t="shared" si="0"/>
        <v>0.26168419950803373</v>
      </c>
      <c r="L53" s="351">
        <v>4</v>
      </c>
      <c r="M53" s="284">
        <v>0</v>
      </c>
      <c r="N53" s="339">
        <f t="shared" si="1"/>
        <v>0</v>
      </c>
      <c r="O53" s="287">
        <v>0</v>
      </c>
      <c r="P53" s="284">
        <v>0</v>
      </c>
      <c r="Q53" s="287">
        <f t="shared" si="2"/>
        <v>0</v>
      </c>
      <c r="R53" s="284">
        <f t="shared" si="3"/>
        <v>0</v>
      </c>
      <c r="S53" s="284">
        <v>0</v>
      </c>
      <c r="T53" s="284">
        <f t="shared" si="4"/>
        <v>0</v>
      </c>
      <c r="U53" s="287"/>
      <c r="V53" s="283"/>
      <c r="W53" s="287"/>
      <c r="X53" s="287"/>
      <c r="Y53" s="287"/>
      <c r="Z53" s="287"/>
      <c r="AA53" s="287"/>
      <c r="AB53" s="287"/>
      <c r="AC53" s="287"/>
      <c r="AD53" s="287"/>
      <c r="AE53" s="287"/>
      <c r="AF53" s="287"/>
      <c r="AG53" s="287"/>
      <c r="AH53" s="287"/>
      <c r="AI53" s="284"/>
      <c r="AJ53" s="284"/>
      <c r="AK53" s="630"/>
      <c r="AL53" s="305"/>
      <c r="AM53" s="305"/>
      <c r="AN53" s="305"/>
      <c r="AO53" s="305"/>
      <c r="AP53" s="305"/>
      <c r="AQ53" s="305"/>
      <c r="AR53" s="305"/>
      <c r="AS53" s="305"/>
      <c r="AT53" s="305"/>
      <c r="AU53" s="305"/>
    </row>
    <row r="54" spans="1:47" s="306" customFormat="1" ht="23.25">
      <c r="A54" s="308" t="s">
        <v>437</v>
      </c>
      <c r="B54" s="304" t="s">
        <v>540</v>
      </c>
      <c r="C54" s="283" t="s">
        <v>797</v>
      </c>
      <c r="D54" s="284"/>
      <c r="E54" s="284"/>
      <c r="F54" s="284"/>
      <c r="G54" s="284"/>
      <c r="H54" s="284"/>
      <c r="I54" s="284"/>
      <c r="J54" s="284">
        <v>1</v>
      </c>
      <c r="K54" s="287">
        <f t="shared" si="0"/>
        <v>0.26168419950803373</v>
      </c>
      <c r="L54" s="351">
        <v>4</v>
      </c>
      <c r="M54" s="284">
        <v>0</v>
      </c>
      <c r="N54" s="339">
        <f t="shared" si="1"/>
        <v>0</v>
      </c>
      <c r="O54" s="287">
        <v>0</v>
      </c>
      <c r="P54" s="284">
        <v>0</v>
      </c>
      <c r="Q54" s="287">
        <f t="shared" si="2"/>
        <v>0</v>
      </c>
      <c r="R54" s="284">
        <f t="shared" si="3"/>
        <v>0</v>
      </c>
      <c r="S54" s="284">
        <v>0</v>
      </c>
      <c r="T54" s="284">
        <f t="shared" si="4"/>
        <v>0</v>
      </c>
      <c r="U54" s="287"/>
      <c r="V54" s="283"/>
      <c r="W54" s="287"/>
      <c r="X54" s="287"/>
      <c r="Y54" s="287"/>
      <c r="Z54" s="287"/>
      <c r="AA54" s="287"/>
      <c r="AB54" s="287"/>
      <c r="AC54" s="287"/>
      <c r="AD54" s="287"/>
      <c r="AE54" s="287"/>
      <c r="AF54" s="287"/>
      <c r="AG54" s="287"/>
      <c r="AH54" s="287"/>
      <c r="AI54" s="284"/>
      <c r="AJ54" s="284"/>
      <c r="AK54" s="630"/>
      <c r="AL54" s="305"/>
      <c r="AM54" s="305"/>
      <c r="AN54" s="305"/>
      <c r="AO54" s="305"/>
      <c r="AP54" s="305"/>
      <c r="AQ54" s="305"/>
      <c r="AR54" s="305"/>
      <c r="AS54" s="305"/>
      <c r="AT54" s="305"/>
      <c r="AU54" s="305"/>
    </row>
    <row r="55" spans="1:47" s="306" customFormat="1" ht="23.25">
      <c r="A55" s="308" t="s">
        <v>438</v>
      </c>
      <c r="B55" s="304" t="s">
        <v>625</v>
      </c>
      <c r="C55" s="283" t="s">
        <v>794</v>
      </c>
      <c r="D55" s="284"/>
      <c r="E55" s="284"/>
      <c r="F55" s="284"/>
      <c r="G55" s="284"/>
      <c r="H55" s="284"/>
      <c r="I55" s="284"/>
      <c r="J55" s="284">
        <v>1</v>
      </c>
      <c r="K55" s="287">
        <f t="shared" si="0"/>
        <v>0.26168419950803373</v>
      </c>
      <c r="L55" s="351">
        <v>4</v>
      </c>
      <c r="M55" s="284">
        <v>0</v>
      </c>
      <c r="N55" s="339">
        <f t="shared" si="1"/>
        <v>0</v>
      </c>
      <c r="O55" s="287">
        <v>0</v>
      </c>
      <c r="P55" s="284">
        <v>0</v>
      </c>
      <c r="Q55" s="287">
        <f t="shared" si="2"/>
        <v>0</v>
      </c>
      <c r="R55" s="284">
        <f t="shared" si="3"/>
        <v>0</v>
      </c>
      <c r="S55" s="284">
        <v>0</v>
      </c>
      <c r="T55" s="284">
        <f t="shared" si="4"/>
        <v>0</v>
      </c>
      <c r="U55" s="287"/>
      <c r="V55" s="283"/>
      <c r="W55" s="287"/>
      <c r="X55" s="287"/>
      <c r="Y55" s="287"/>
      <c r="Z55" s="287"/>
      <c r="AA55" s="287"/>
      <c r="AB55" s="287"/>
      <c r="AC55" s="287"/>
      <c r="AD55" s="287"/>
      <c r="AE55" s="287"/>
      <c r="AF55" s="287"/>
      <c r="AG55" s="287"/>
      <c r="AH55" s="287"/>
      <c r="AI55" s="284"/>
      <c r="AJ55" s="284"/>
      <c r="AK55" s="630"/>
      <c r="AL55" s="305"/>
      <c r="AM55" s="305"/>
      <c r="AN55" s="305"/>
      <c r="AO55" s="305"/>
      <c r="AP55" s="305"/>
      <c r="AQ55" s="305"/>
      <c r="AR55" s="305"/>
      <c r="AS55" s="305"/>
      <c r="AT55" s="305"/>
      <c r="AU55" s="305"/>
    </row>
    <row r="56" spans="1:47" s="306" customFormat="1" ht="23.25">
      <c r="A56" s="308" t="s">
        <v>440</v>
      </c>
      <c r="B56" s="304" t="s">
        <v>540</v>
      </c>
      <c r="C56" s="283" t="s">
        <v>797</v>
      </c>
      <c r="D56" s="284"/>
      <c r="E56" s="284"/>
      <c r="F56" s="284"/>
      <c r="G56" s="284"/>
      <c r="H56" s="284"/>
      <c r="I56" s="284"/>
      <c r="J56" s="284">
        <v>1</v>
      </c>
      <c r="K56" s="287">
        <f t="shared" si="0"/>
        <v>0.26168419950803373</v>
      </c>
      <c r="L56" s="351">
        <v>4</v>
      </c>
      <c r="M56" s="284">
        <v>0</v>
      </c>
      <c r="N56" s="339">
        <f t="shared" si="1"/>
        <v>0</v>
      </c>
      <c r="O56" s="287">
        <v>0</v>
      </c>
      <c r="P56" s="284">
        <v>0</v>
      </c>
      <c r="Q56" s="287">
        <f t="shared" si="2"/>
        <v>0</v>
      </c>
      <c r="R56" s="284">
        <f t="shared" si="3"/>
        <v>0</v>
      </c>
      <c r="S56" s="284">
        <v>0</v>
      </c>
      <c r="T56" s="284">
        <f t="shared" si="4"/>
        <v>0</v>
      </c>
      <c r="U56" s="287"/>
      <c r="V56" s="283"/>
      <c r="W56" s="287"/>
      <c r="X56" s="287"/>
      <c r="Y56" s="287"/>
      <c r="Z56" s="287"/>
      <c r="AA56" s="287"/>
      <c r="AB56" s="287"/>
      <c r="AC56" s="287"/>
      <c r="AD56" s="287"/>
      <c r="AE56" s="287"/>
      <c r="AF56" s="287"/>
      <c r="AG56" s="287"/>
      <c r="AH56" s="287"/>
      <c r="AI56" s="284"/>
      <c r="AJ56" s="284"/>
      <c r="AK56" s="630"/>
      <c r="AL56" s="305"/>
      <c r="AM56" s="305"/>
      <c r="AN56" s="305"/>
      <c r="AO56" s="305"/>
      <c r="AP56" s="305"/>
      <c r="AQ56" s="305"/>
      <c r="AR56" s="305"/>
      <c r="AS56" s="305"/>
      <c r="AT56" s="305"/>
      <c r="AU56" s="305"/>
    </row>
    <row r="57" spans="1:47" s="306" customFormat="1" ht="23.25">
      <c r="A57" s="308" t="s">
        <v>441</v>
      </c>
      <c r="B57" s="304" t="s">
        <v>626</v>
      </c>
      <c r="C57" s="283" t="s">
        <v>794</v>
      </c>
      <c r="D57" s="284"/>
      <c r="E57" s="284"/>
      <c r="F57" s="284"/>
      <c r="G57" s="284"/>
      <c r="H57" s="284"/>
      <c r="I57" s="284"/>
      <c r="J57" s="284">
        <v>1</v>
      </c>
      <c r="K57" s="287">
        <f t="shared" si="0"/>
        <v>0.26168419950803373</v>
      </c>
      <c r="L57" s="351">
        <v>4</v>
      </c>
      <c r="M57" s="284">
        <v>0</v>
      </c>
      <c r="N57" s="339">
        <f t="shared" si="1"/>
        <v>0</v>
      </c>
      <c r="O57" s="287">
        <v>0</v>
      </c>
      <c r="P57" s="284">
        <v>0</v>
      </c>
      <c r="Q57" s="287">
        <f t="shared" si="2"/>
        <v>0</v>
      </c>
      <c r="R57" s="284">
        <f t="shared" si="3"/>
        <v>0</v>
      </c>
      <c r="S57" s="284">
        <v>0</v>
      </c>
      <c r="T57" s="284">
        <f t="shared" si="4"/>
        <v>0</v>
      </c>
      <c r="U57" s="287"/>
      <c r="V57" s="283"/>
      <c r="W57" s="287"/>
      <c r="X57" s="287"/>
      <c r="Y57" s="287"/>
      <c r="Z57" s="287"/>
      <c r="AA57" s="287"/>
      <c r="AB57" s="287"/>
      <c r="AC57" s="287"/>
      <c r="AD57" s="287"/>
      <c r="AE57" s="287"/>
      <c r="AF57" s="287"/>
      <c r="AG57" s="287"/>
      <c r="AH57" s="287"/>
      <c r="AI57" s="284"/>
      <c r="AJ57" s="284"/>
      <c r="AK57" s="630"/>
      <c r="AL57" s="305"/>
      <c r="AM57" s="305"/>
      <c r="AN57" s="305"/>
      <c r="AO57" s="305"/>
      <c r="AP57" s="305"/>
      <c r="AQ57" s="305"/>
      <c r="AR57" s="305"/>
      <c r="AS57" s="305"/>
      <c r="AT57" s="305"/>
      <c r="AU57" s="305"/>
    </row>
    <row r="58" spans="1:47" s="306" customFormat="1" ht="23.25">
      <c r="A58" s="308" t="s">
        <v>443</v>
      </c>
      <c r="B58" s="304" t="s">
        <v>540</v>
      </c>
      <c r="C58" s="283" t="s">
        <v>797</v>
      </c>
      <c r="D58" s="284"/>
      <c r="E58" s="284"/>
      <c r="F58" s="284"/>
      <c r="G58" s="284"/>
      <c r="H58" s="284"/>
      <c r="I58" s="284"/>
      <c r="J58" s="284">
        <v>1</v>
      </c>
      <c r="K58" s="287">
        <f t="shared" si="0"/>
        <v>0.26168419950803373</v>
      </c>
      <c r="L58" s="351">
        <v>4</v>
      </c>
      <c r="M58" s="284">
        <v>0</v>
      </c>
      <c r="N58" s="339">
        <f t="shared" si="1"/>
        <v>0</v>
      </c>
      <c r="O58" s="287">
        <v>0</v>
      </c>
      <c r="P58" s="284">
        <v>0</v>
      </c>
      <c r="Q58" s="287">
        <f t="shared" si="2"/>
        <v>0</v>
      </c>
      <c r="R58" s="284">
        <f t="shared" si="3"/>
        <v>0</v>
      </c>
      <c r="S58" s="284">
        <v>0</v>
      </c>
      <c r="T58" s="284">
        <f t="shared" si="4"/>
        <v>0</v>
      </c>
      <c r="U58" s="287"/>
      <c r="V58" s="283"/>
      <c r="W58" s="287"/>
      <c r="X58" s="287"/>
      <c r="Y58" s="287"/>
      <c r="Z58" s="287"/>
      <c r="AA58" s="287"/>
      <c r="AB58" s="287"/>
      <c r="AC58" s="287"/>
      <c r="AD58" s="287"/>
      <c r="AE58" s="287"/>
      <c r="AF58" s="287"/>
      <c r="AG58" s="287"/>
      <c r="AH58" s="287"/>
      <c r="AI58" s="284"/>
      <c r="AJ58" s="284"/>
      <c r="AK58" s="630"/>
      <c r="AL58" s="305"/>
      <c r="AM58" s="305"/>
      <c r="AN58" s="305"/>
      <c r="AO58" s="305"/>
      <c r="AP58" s="305"/>
      <c r="AQ58" s="305"/>
      <c r="AR58" s="305"/>
      <c r="AS58" s="305"/>
      <c r="AT58" s="305"/>
      <c r="AU58" s="305"/>
    </row>
    <row r="59" spans="1:47" s="306" customFormat="1" ht="23.25">
      <c r="A59" s="308" t="s">
        <v>444</v>
      </c>
      <c r="B59" s="304" t="s">
        <v>809</v>
      </c>
      <c r="C59" s="283" t="s">
        <v>794</v>
      </c>
      <c r="D59" s="284"/>
      <c r="E59" s="284"/>
      <c r="F59" s="284"/>
      <c r="G59" s="284"/>
      <c r="H59" s="284"/>
      <c r="I59" s="284"/>
      <c r="J59" s="284">
        <v>82.6</v>
      </c>
      <c r="K59" s="287">
        <f t="shared" si="0"/>
        <v>1.2429999476631601</v>
      </c>
      <c r="L59" s="351">
        <v>19</v>
      </c>
      <c r="M59" s="284">
        <v>20</v>
      </c>
      <c r="N59" s="339">
        <f t="shared" si="1"/>
        <v>0.30093682943423872</v>
      </c>
      <c r="O59" s="287">
        <v>4.5999999999999996</v>
      </c>
      <c r="P59" s="284">
        <v>0</v>
      </c>
      <c r="Q59" s="287">
        <f t="shared" si="2"/>
        <v>0</v>
      </c>
      <c r="R59" s="284">
        <f t="shared" si="3"/>
        <v>0</v>
      </c>
      <c r="S59" s="284">
        <v>0</v>
      </c>
      <c r="T59" s="284">
        <f t="shared" si="4"/>
        <v>0</v>
      </c>
      <c r="U59" s="287"/>
      <c r="V59" s="283"/>
      <c r="W59" s="287"/>
      <c r="X59" s="287"/>
      <c r="Y59" s="287"/>
      <c r="Z59" s="287"/>
      <c r="AA59" s="287"/>
      <c r="AB59" s="287"/>
      <c r="AC59" s="287"/>
      <c r="AD59" s="287"/>
      <c r="AE59" s="287"/>
      <c r="AF59" s="287"/>
      <c r="AG59" s="287"/>
      <c r="AH59" s="287"/>
      <c r="AI59" s="284"/>
      <c r="AJ59" s="284"/>
      <c r="AK59" s="631"/>
      <c r="AL59" s="305"/>
      <c r="AM59" s="305"/>
      <c r="AN59" s="305"/>
      <c r="AO59" s="305"/>
      <c r="AP59" s="305"/>
      <c r="AQ59" s="305"/>
      <c r="AR59" s="305"/>
      <c r="AS59" s="305"/>
      <c r="AT59" s="305"/>
      <c r="AU59" s="305"/>
    </row>
    <row r="60" spans="1:47" s="306" customFormat="1" ht="23.25">
      <c r="A60" s="308" t="s">
        <v>446</v>
      </c>
      <c r="B60" s="304" t="s">
        <v>540</v>
      </c>
      <c r="C60" s="283" t="s">
        <v>797</v>
      </c>
      <c r="D60" s="284"/>
      <c r="E60" s="284"/>
      <c r="F60" s="284"/>
      <c r="G60" s="284"/>
      <c r="H60" s="284"/>
      <c r="I60" s="284"/>
      <c r="J60" s="284">
        <v>82.6</v>
      </c>
      <c r="K60" s="287">
        <f t="shared" si="0"/>
        <v>1.2429999476631601</v>
      </c>
      <c r="L60" s="351">
        <v>19</v>
      </c>
      <c r="M60" s="284">
        <v>20</v>
      </c>
      <c r="N60" s="339">
        <f t="shared" si="1"/>
        <v>0.30093682943423872</v>
      </c>
      <c r="O60" s="287">
        <v>4.5999999999999996</v>
      </c>
      <c r="P60" s="284">
        <v>20</v>
      </c>
      <c r="Q60" s="287">
        <f t="shared" si="2"/>
        <v>0.30093682943423872</v>
      </c>
      <c r="R60" s="284">
        <f t="shared" si="3"/>
        <v>100</v>
      </c>
      <c r="S60" s="284">
        <v>0</v>
      </c>
      <c r="T60" s="284">
        <f t="shared" si="4"/>
        <v>0</v>
      </c>
      <c r="U60" s="287"/>
      <c r="V60" s="283"/>
      <c r="W60" s="287"/>
      <c r="X60" s="287"/>
      <c r="Y60" s="287"/>
      <c r="Z60" s="287"/>
      <c r="AA60" s="287"/>
      <c r="AB60" s="287"/>
      <c r="AC60" s="287"/>
      <c r="AD60" s="287"/>
      <c r="AE60" s="287"/>
      <c r="AF60" s="287"/>
      <c r="AG60" s="287"/>
      <c r="AH60" s="287"/>
      <c r="AI60" s="284"/>
      <c r="AJ60" s="284"/>
      <c r="AK60" s="360"/>
      <c r="AL60" s="305"/>
      <c r="AM60" s="305"/>
      <c r="AN60" s="305"/>
      <c r="AO60" s="305"/>
      <c r="AP60" s="305"/>
      <c r="AQ60" s="305"/>
      <c r="AR60" s="305"/>
      <c r="AS60" s="305"/>
      <c r="AT60" s="305"/>
      <c r="AU60" s="305"/>
    </row>
    <row r="61" spans="1:47" s="306" customFormat="1" ht="23.25">
      <c r="A61" s="308" t="s">
        <v>447</v>
      </c>
      <c r="B61" s="304" t="s">
        <v>628</v>
      </c>
      <c r="C61" s="283" t="s">
        <v>794</v>
      </c>
      <c r="D61" s="284"/>
      <c r="E61" s="284"/>
      <c r="F61" s="284"/>
      <c r="G61" s="284"/>
      <c r="H61" s="284"/>
      <c r="I61" s="284"/>
      <c r="J61" s="284">
        <v>1</v>
      </c>
      <c r="K61" s="287">
        <f t="shared" si="0"/>
        <v>0.39252629926205052</v>
      </c>
      <c r="L61" s="351">
        <v>6</v>
      </c>
      <c r="M61" s="284">
        <v>0</v>
      </c>
      <c r="N61" s="339">
        <f t="shared" si="1"/>
        <v>0</v>
      </c>
      <c r="O61" s="287">
        <v>0</v>
      </c>
      <c r="P61" s="284">
        <v>0</v>
      </c>
      <c r="Q61" s="287">
        <f t="shared" si="2"/>
        <v>0</v>
      </c>
      <c r="R61" s="284">
        <f t="shared" si="3"/>
        <v>0</v>
      </c>
      <c r="S61" s="284">
        <v>0</v>
      </c>
      <c r="T61" s="284">
        <f t="shared" si="4"/>
        <v>0</v>
      </c>
      <c r="U61" s="287"/>
      <c r="V61" s="283"/>
      <c r="W61" s="287"/>
      <c r="X61" s="287"/>
      <c r="Y61" s="287"/>
      <c r="Z61" s="287"/>
      <c r="AA61" s="287"/>
      <c r="AB61" s="287"/>
      <c r="AC61" s="287"/>
      <c r="AD61" s="287"/>
      <c r="AE61" s="287"/>
      <c r="AF61" s="287"/>
      <c r="AG61" s="287"/>
      <c r="AH61" s="287"/>
      <c r="AI61" s="284"/>
      <c r="AJ61" s="284"/>
      <c r="AK61" s="360"/>
      <c r="AL61" s="305"/>
      <c r="AM61" s="305"/>
      <c r="AN61" s="305"/>
      <c r="AO61" s="305"/>
      <c r="AP61" s="305"/>
      <c r="AQ61" s="305"/>
      <c r="AR61" s="305"/>
      <c r="AS61" s="305"/>
      <c r="AT61" s="305"/>
      <c r="AU61" s="305"/>
    </row>
    <row r="62" spans="1:47" s="306" customFormat="1" ht="23.25">
      <c r="A62" s="308" t="s">
        <v>449</v>
      </c>
      <c r="B62" s="304" t="s">
        <v>540</v>
      </c>
      <c r="C62" s="283" t="s">
        <v>797</v>
      </c>
      <c r="D62" s="284"/>
      <c r="E62" s="284"/>
      <c r="F62" s="284"/>
      <c r="G62" s="284"/>
      <c r="H62" s="284"/>
      <c r="I62" s="284"/>
      <c r="J62" s="284">
        <v>1</v>
      </c>
      <c r="K62" s="287">
        <f t="shared" si="0"/>
        <v>0.39252629926205052</v>
      </c>
      <c r="L62" s="351">
        <v>6</v>
      </c>
      <c r="M62" s="284">
        <v>0</v>
      </c>
      <c r="N62" s="339">
        <f t="shared" si="1"/>
        <v>0</v>
      </c>
      <c r="O62" s="287">
        <v>0</v>
      </c>
      <c r="P62" s="284">
        <v>0</v>
      </c>
      <c r="Q62" s="287">
        <f t="shared" si="2"/>
        <v>0</v>
      </c>
      <c r="R62" s="284">
        <f t="shared" si="3"/>
        <v>0</v>
      </c>
      <c r="S62" s="284">
        <v>0</v>
      </c>
      <c r="T62" s="284">
        <f t="shared" si="4"/>
        <v>0</v>
      </c>
      <c r="U62" s="287"/>
      <c r="V62" s="283"/>
      <c r="W62" s="287"/>
      <c r="X62" s="287"/>
      <c r="Y62" s="287"/>
      <c r="Z62" s="287"/>
      <c r="AA62" s="287"/>
      <c r="AB62" s="287"/>
      <c r="AC62" s="287"/>
      <c r="AD62" s="287"/>
      <c r="AE62" s="287"/>
      <c r="AF62" s="287"/>
      <c r="AG62" s="287"/>
      <c r="AH62" s="287"/>
      <c r="AI62" s="284"/>
      <c r="AJ62" s="284"/>
      <c r="AK62" s="360"/>
      <c r="AL62" s="305"/>
      <c r="AM62" s="305"/>
      <c r="AN62" s="305"/>
      <c r="AO62" s="305"/>
      <c r="AP62" s="305"/>
      <c r="AQ62" s="305"/>
      <c r="AR62" s="305"/>
      <c r="AS62" s="305"/>
      <c r="AT62" s="305"/>
      <c r="AU62" s="305"/>
    </row>
    <row r="63" spans="1:47" s="306" customFormat="1" ht="23.25">
      <c r="A63" s="308" t="s">
        <v>255</v>
      </c>
      <c r="B63" s="297" t="s">
        <v>629</v>
      </c>
      <c r="C63" s="283" t="s">
        <v>794</v>
      </c>
      <c r="D63" s="284"/>
      <c r="E63" s="284"/>
      <c r="F63" s="284"/>
      <c r="G63" s="284"/>
      <c r="H63" s="284"/>
      <c r="I63" s="284"/>
      <c r="J63" s="284">
        <v>26.03</v>
      </c>
      <c r="K63" s="287">
        <f t="shared" si="0"/>
        <v>4.9719997906526405</v>
      </c>
      <c r="L63" s="351">
        <v>76</v>
      </c>
      <c r="M63" s="284">
        <v>0</v>
      </c>
      <c r="N63" s="339">
        <f t="shared" si="1"/>
        <v>0</v>
      </c>
      <c r="O63" s="287">
        <v>0</v>
      </c>
      <c r="P63" s="284">
        <v>0</v>
      </c>
      <c r="Q63" s="287">
        <f t="shared" si="2"/>
        <v>0</v>
      </c>
      <c r="R63" s="284">
        <f t="shared" si="3"/>
        <v>0</v>
      </c>
      <c r="S63" s="284">
        <v>0</v>
      </c>
      <c r="T63" s="284">
        <f t="shared" si="4"/>
        <v>0</v>
      </c>
      <c r="U63" s="287"/>
      <c r="V63" s="283"/>
      <c r="W63" s="287"/>
      <c r="X63" s="287"/>
      <c r="Y63" s="287"/>
      <c r="Z63" s="287"/>
      <c r="AA63" s="287"/>
      <c r="AB63" s="287"/>
      <c r="AC63" s="287"/>
      <c r="AD63" s="287"/>
      <c r="AE63" s="287"/>
      <c r="AF63" s="287"/>
      <c r="AG63" s="287"/>
      <c r="AH63" s="287"/>
      <c r="AI63" s="284"/>
      <c r="AJ63" s="284"/>
      <c r="AK63" s="360"/>
      <c r="AL63" s="305"/>
      <c r="AM63" s="305"/>
      <c r="AN63" s="305"/>
      <c r="AO63" s="305"/>
      <c r="AP63" s="305"/>
      <c r="AQ63" s="305"/>
      <c r="AR63" s="305"/>
      <c r="AS63" s="305"/>
      <c r="AT63" s="305"/>
      <c r="AU63" s="305"/>
    </row>
    <row r="64" spans="1:47" s="306" customFormat="1" ht="23.25">
      <c r="A64" s="308" t="s">
        <v>257</v>
      </c>
      <c r="B64" s="304" t="s">
        <v>561</v>
      </c>
      <c r="C64" s="283" t="s">
        <v>797</v>
      </c>
      <c r="D64" s="284"/>
      <c r="E64" s="284"/>
      <c r="F64" s="284"/>
      <c r="G64" s="284"/>
      <c r="H64" s="284"/>
      <c r="I64" s="284"/>
      <c r="J64" s="284">
        <v>26.03</v>
      </c>
      <c r="K64" s="287">
        <f t="shared" si="0"/>
        <v>4.9719997906526405</v>
      </c>
      <c r="L64" s="351">
        <v>76</v>
      </c>
      <c r="M64" s="284">
        <v>0</v>
      </c>
      <c r="N64" s="339">
        <f t="shared" si="1"/>
        <v>0</v>
      </c>
      <c r="O64" s="287">
        <v>0</v>
      </c>
      <c r="P64" s="284">
        <v>0</v>
      </c>
      <c r="Q64" s="287">
        <f t="shared" si="2"/>
        <v>0</v>
      </c>
      <c r="R64" s="284">
        <f t="shared" si="3"/>
        <v>0</v>
      </c>
      <c r="S64" s="284">
        <v>0</v>
      </c>
      <c r="T64" s="284">
        <f t="shared" si="4"/>
        <v>0</v>
      </c>
      <c r="U64" s="287"/>
      <c r="V64" s="283"/>
      <c r="W64" s="287"/>
      <c r="X64" s="287"/>
      <c r="Y64" s="287"/>
      <c r="Z64" s="287"/>
      <c r="AA64" s="287"/>
      <c r="AB64" s="287"/>
      <c r="AC64" s="287"/>
      <c r="AD64" s="287"/>
      <c r="AE64" s="287"/>
      <c r="AF64" s="287"/>
      <c r="AG64" s="287"/>
      <c r="AH64" s="287"/>
      <c r="AI64" s="284"/>
      <c r="AJ64" s="284"/>
      <c r="AK64" s="360"/>
      <c r="AL64" s="305"/>
      <c r="AM64" s="305"/>
      <c r="AN64" s="305"/>
      <c r="AO64" s="305"/>
      <c r="AP64" s="305"/>
      <c r="AQ64" s="305"/>
      <c r="AR64" s="305"/>
      <c r="AS64" s="305"/>
      <c r="AT64" s="305"/>
      <c r="AU64" s="305"/>
    </row>
    <row r="65" spans="1:47" s="306" customFormat="1" ht="23.25">
      <c r="A65" s="308" t="s">
        <v>260</v>
      </c>
      <c r="B65" s="353" t="s">
        <v>673</v>
      </c>
      <c r="C65" s="283" t="s">
        <v>794</v>
      </c>
      <c r="D65" s="284"/>
      <c r="E65" s="284"/>
      <c r="F65" s="284"/>
      <c r="G65" s="284"/>
      <c r="H65" s="284"/>
      <c r="I65" s="284"/>
      <c r="J65" s="284">
        <v>1.5</v>
      </c>
      <c r="K65" s="287">
        <f t="shared" si="0"/>
        <v>1.7663683466792275</v>
      </c>
      <c r="L65" s="351">
        <v>27</v>
      </c>
      <c r="M65" s="284">
        <v>1.5</v>
      </c>
      <c r="N65" s="339">
        <f t="shared" si="1"/>
        <v>1.7663683466792275</v>
      </c>
      <c r="O65" s="287">
        <v>27</v>
      </c>
      <c r="P65" s="284">
        <v>0</v>
      </c>
      <c r="Q65" s="287">
        <f t="shared" si="2"/>
        <v>0</v>
      </c>
      <c r="R65" s="284">
        <f t="shared" si="3"/>
        <v>0</v>
      </c>
      <c r="S65" s="284">
        <v>0</v>
      </c>
      <c r="T65" s="284">
        <f t="shared" si="4"/>
        <v>0</v>
      </c>
      <c r="U65" s="287"/>
      <c r="V65" s="283"/>
      <c r="W65" s="287"/>
      <c r="X65" s="287"/>
      <c r="Y65" s="287"/>
      <c r="Z65" s="287"/>
      <c r="AA65" s="287"/>
      <c r="AB65" s="287"/>
      <c r="AC65" s="287"/>
      <c r="AD65" s="287"/>
      <c r="AE65" s="287"/>
      <c r="AF65" s="287"/>
      <c r="AG65" s="287"/>
      <c r="AH65" s="287"/>
      <c r="AI65" s="284"/>
      <c r="AJ65" s="284"/>
      <c r="AK65" s="360"/>
      <c r="AL65" s="305"/>
      <c r="AM65" s="305"/>
      <c r="AN65" s="305"/>
      <c r="AO65" s="305"/>
      <c r="AP65" s="305"/>
      <c r="AQ65" s="305"/>
      <c r="AR65" s="305"/>
      <c r="AS65" s="305"/>
      <c r="AT65" s="305"/>
      <c r="AU65" s="305"/>
    </row>
    <row r="66" spans="1:47" s="306" customFormat="1" ht="23.25">
      <c r="A66" s="308" t="s">
        <v>262</v>
      </c>
      <c r="B66" s="304" t="s">
        <v>561</v>
      </c>
      <c r="C66" s="283" t="s">
        <v>797</v>
      </c>
      <c r="D66" s="284"/>
      <c r="E66" s="284"/>
      <c r="F66" s="284"/>
      <c r="G66" s="284"/>
      <c r="H66" s="284"/>
      <c r="I66" s="284"/>
      <c r="J66" s="284">
        <v>1.5</v>
      </c>
      <c r="K66" s="287">
        <f t="shared" si="0"/>
        <v>1.7663683466792275</v>
      </c>
      <c r="L66" s="351">
        <v>27</v>
      </c>
      <c r="M66" s="284">
        <v>1.5</v>
      </c>
      <c r="N66" s="339">
        <f t="shared" si="1"/>
        <v>1.7663683466792275</v>
      </c>
      <c r="O66" s="287">
        <v>27</v>
      </c>
      <c r="P66" s="284">
        <v>0.5</v>
      </c>
      <c r="Q66" s="287">
        <f t="shared" si="2"/>
        <v>0.58878944889307583</v>
      </c>
      <c r="R66" s="284">
        <f t="shared" si="3"/>
        <v>33.33</v>
      </c>
      <c r="S66" s="284">
        <v>0</v>
      </c>
      <c r="T66" s="284">
        <f t="shared" si="4"/>
        <v>0</v>
      </c>
      <c r="U66" s="287"/>
      <c r="V66" s="283"/>
      <c r="W66" s="287"/>
      <c r="X66" s="287"/>
      <c r="Y66" s="287"/>
      <c r="Z66" s="287"/>
      <c r="AA66" s="287"/>
      <c r="AB66" s="287"/>
      <c r="AC66" s="287"/>
      <c r="AD66" s="287"/>
      <c r="AE66" s="287"/>
      <c r="AF66" s="287"/>
      <c r="AG66" s="287"/>
      <c r="AH66" s="287"/>
      <c r="AI66" s="284"/>
      <c r="AJ66" s="284"/>
      <c r="AK66" s="360"/>
      <c r="AL66" s="305"/>
      <c r="AM66" s="305"/>
      <c r="AN66" s="305"/>
      <c r="AO66" s="305"/>
      <c r="AP66" s="305"/>
      <c r="AQ66" s="305"/>
      <c r="AR66" s="305"/>
      <c r="AS66" s="305"/>
      <c r="AT66" s="305"/>
      <c r="AU66" s="305"/>
    </row>
    <row r="67" spans="1:47" s="306" customFormat="1" ht="23.25">
      <c r="A67" s="308" t="s">
        <v>263</v>
      </c>
      <c r="B67" s="353" t="s">
        <v>674</v>
      </c>
      <c r="C67" s="283" t="s">
        <v>797</v>
      </c>
      <c r="D67" s="284"/>
      <c r="E67" s="284"/>
      <c r="F67" s="284"/>
      <c r="G67" s="284"/>
      <c r="H67" s="284"/>
      <c r="I67" s="284"/>
      <c r="J67" s="284">
        <v>5</v>
      </c>
      <c r="K67" s="287">
        <f t="shared" si="0"/>
        <v>6.5421049877008433E-2</v>
      </c>
      <c r="L67" s="351">
        <v>1</v>
      </c>
      <c r="M67" s="284">
        <v>0</v>
      </c>
      <c r="N67" s="339">
        <f t="shared" si="1"/>
        <v>0</v>
      </c>
      <c r="O67" s="287">
        <v>0</v>
      </c>
      <c r="P67" s="284">
        <v>0</v>
      </c>
      <c r="Q67" s="287">
        <f t="shared" si="2"/>
        <v>0</v>
      </c>
      <c r="R67" s="284">
        <f t="shared" si="3"/>
        <v>0</v>
      </c>
      <c r="S67" s="284">
        <v>0</v>
      </c>
      <c r="T67" s="284">
        <f t="shared" si="4"/>
        <v>0</v>
      </c>
      <c r="U67" s="287"/>
      <c r="V67" s="283"/>
      <c r="W67" s="287"/>
      <c r="X67" s="287"/>
      <c r="Y67" s="287"/>
      <c r="Z67" s="287"/>
      <c r="AA67" s="287"/>
      <c r="AB67" s="287"/>
      <c r="AC67" s="287"/>
      <c r="AD67" s="287"/>
      <c r="AE67" s="287"/>
      <c r="AF67" s="287"/>
      <c r="AG67" s="287"/>
      <c r="AH67" s="287"/>
      <c r="AI67" s="284"/>
      <c r="AJ67" s="284"/>
      <c r="AK67" s="360"/>
      <c r="AL67" s="305"/>
      <c r="AM67" s="305"/>
      <c r="AN67" s="305"/>
      <c r="AO67" s="305"/>
      <c r="AP67" s="305"/>
      <c r="AQ67" s="305"/>
      <c r="AR67" s="305"/>
      <c r="AS67" s="305"/>
      <c r="AT67" s="305"/>
      <c r="AU67" s="305"/>
    </row>
    <row r="68" spans="1:47" s="306" customFormat="1" ht="23.25">
      <c r="A68" s="308" t="s">
        <v>566</v>
      </c>
      <c r="B68" s="353" t="s">
        <v>675</v>
      </c>
      <c r="C68" s="283" t="s">
        <v>797</v>
      </c>
      <c r="D68" s="284"/>
      <c r="E68" s="284"/>
      <c r="F68" s="284"/>
      <c r="G68" s="284"/>
      <c r="H68" s="284"/>
      <c r="I68" s="284"/>
      <c r="J68" s="284">
        <v>0.5</v>
      </c>
      <c r="K68" s="287">
        <f t="shared" si="0"/>
        <v>6.5421049877008433E-2</v>
      </c>
      <c r="L68" s="351">
        <v>1</v>
      </c>
      <c r="M68" s="284">
        <v>0</v>
      </c>
      <c r="N68" s="339">
        <f t="shared" si="1"/>
        <v>0</v>
      </c>
      <c r="O68" s="287">
        <v>0</v>
      </c>
      <c r="P68" s="284">
        <v>0</v>
      </c>
      <c r="Q68" s="287">
        <f t="shared" si="2"/>
        <v>0</v>
      </c>
      <c r="R68" s="284">
        <f t="shared" si="3"/>
        <v>0</v>
      </c>
      <c r="S68" s="284">
        <v>0</v>
      </c>
      <c r="T68" s="284">
        <f t="shared" si="4"/>
        <v>0</v>
      </c>
      <c r="U68" s="287"/>
      <c r="V68" s="283"/>
      <c r="W68" s="287"/>
      <c r="X68" s="287"/>
      <c r="Y68" s="287"/>
      <c r="Z68" s="287"/>
      <c r="AA68" s="287"/>
      <c r="AB68" s="287"/>
      <c r="AC68" s="287"/>
      <c r="AD68" s="287"/>
      <c r="AE68" s="287"/>
      <c r="AF68" s="287"/>
      <c r="AG68" s="287"/>
      <c r="AH68" s="287"/>
      <c r="AI68" s="284"/>
      <c r="AJ68" s="284"/>
      <c r="AK68" s="360"/>
      <c r="AL68" s="305"/>
      <c r="AM68" s="305"/>
      <c r="AN68" s="305"/>
      <c r="AO68" s="305"/>
      <c r="AP68" s="305"/>
      <c r="AQ68" s="305"/>
      <c r="AR68" s="305"/>
      <c r="AS68" s="305"/>
      <c r="AT68" s="305"/>
      <c r="AU68" s="305"/>
    </row>
    <row r="69" spans="1:47" s="306" customFormat="1" ht="23.25">
      <c r="A69" s="308" t="s">
        <v>271</v>
      </c>
      <c r="B69" s="353" t="s">
        <v>676</v>
      </c>
      <c r="C69" s="283" t="s">
        <v>797</v>
      </c>
      <c r="D69" s="284"/>
      <c r="E69" s="284"/>
      <c r="F69" s="284"/>
      <c r="G69" s="284"/>
      <c r="H69" s="284"/>
      <c r="I69" s="284"/>
      <c r="J69" s="284">
        <v>5</v>
      </c>
      <c r="K69" s="287">
        <f t="shared" si="0"/>
        <v>4.9065787407756325</v>
      </c>
      <c r="L69" s="351">
        <v>75</v>
      </c>
      <c r="M69" s="284">
        <v>1</v>
      </c>
      <c r="N69" s="339">
        <f t="shared" si="1"/>
        <v>0.98131574815512634</v>
      </c>
      <c r="O69" s="287">
        <v>15</v>
      </c>
      <c r="P69" s="284">
        <v>0.1</v>
      </c>
      <c r="Q69" s="287">
        <f t="shared" si="2"/>
        <v>9.8131574815512643E-2</v>
      </c>
      <c r="R69" s="284">
        <f t="shared" si="3"/>
        <v>10</v>
      </c>
      <c r="S69" s="284">
        <v>0</v>
      </c>
      <c r="T69" s="284">
        <f t="shared" si="4"/>
        <v>0</v>
      </c>
      <c r="U69" s="287"/>
      <c r="V69" s="283"/>
      <c r="W69" s="287"/>
      <c r="X69" s="287"/>
      <c r="Y69" s="287"/>
      <c r="Z69" s="287"/>
      <c r="AA69" s="287"/>
      <c r="AB69" s="287"/>
      <c r="AC69" s="287"/>
      <c r="AD69" s="287"/>
      <c r="AE69" s="287"/>
      <c r="AF69" s="287"/>
      <c r="AG69" s="287"/>
      <c r="AH69" s="287"/>
      <c r="AI69" s="284"/>
      <c r="AJ69" s="284"/>
      <c r="AK69" s="360"/>
      <c r="AL69" s="305"/>
      <c r="AM69" s="305"/>
      <c r="AN69" s="305"/>
      <c r="AO69" s="305"/>
      <c r="AP69" s="305"/>
      <c r="AQ69" s="305"/>
      <c r="AR69" s="305"/>
      <c r="AS69" s="305"/>
      <c r="AT69" s="305"/>
      <c r="AU69" s="305"/>
    </row>
    <row r="70" spans="1:47" s="306" customFormat="1" ht="23.25">
      <c r="A70" s="308" t="s">
        <v>273</v>
      </c>
      <c r="B70" s="354" t="s">
        <v>677</v>
      </c>
      <c r="C70" s="283" t="s">
        <v>797</v>
      </c>
      <c r="D70" s="284"/>
      <c r="E70" s="284"/>
      <c r="F70" s="284"/>
      <c r="G70" s="284"/>
      <c r="H70" s="284"/>
      <c r="I70" s="284"/>
      <c r="J70" s="284">
        <v>1.5</v>
      </c>
      <c r="K70" s="287">
        <f t="shared" si="0"/>
        <v>0.78505259852410103</v>
      </c>
      <c r="L70" s="351">
        <v>12</v>
      </c>
      <c r="M70" s="284">
        <v>0</v>
      </c>
      <c r="N70" s="339">
        <f t="shared" si="1"/>
        <v>0</v>
      </c>
      <c r="O70" s="287">
        <v>0</v>
      </c>
      <c r="P70" s="284">
        <v>0.1</v>
      </c>
      <c r="Q70" s="287">
        <f t="shared" si="2"/>
        <v>5.2336839901606737E-2</v>
      </c>
      <c r="R70" s="284">
        <f t="shared" si="3"/>
        <v>6.67</v>
      </c>
      <c r="S70" s="284">
        <v>0</v>
      </c>
      <c r="T70" s="284">
        <f t="shared" si="4"/>
        <v>0</v>
      </c>
      <c r="U70" s="287"/>
      <c r="V70" s="283"/>
      <c r="W70" s="287"/>
      <c r="X70" s="287"/>
      <c r="Y70" s="287"/>
      <c r="Z70" s="287"/>
      <c r="AA70" s="287"/>
      <c r="AB70" s="287"/>
      <c r="AC70" s="287"/>
      <c r="AD70" s="287"/>
      <c r="AE70" s="287"/>
      <c r="AF70" s="287"/>
      <c r="AG70" s="287"/>
      <c r="AH70" s="287"/>
      <c r="AI70" s="284"/>
      <c r="AJ70" s="284"/>
      <c r="AK70" s="360"/>
      <c r="AL70" s="305"/>
      <c r="AM70" s="305"/>
      <c r="AN70" s="305"/>
      <c r="AO70" s="305"/>
      <c r="AP70" s="305"/>
      <c r="AQ70" s="305"/>
      <c r="AR70" s="305"/>
      <c r="AS70" s="305"/>
      <c r="AT70" s="305"/>
      <c r="AU70" s="305"/>
    </row>
    <row r="71" spans="1:47" s="306" customFormat="1" ht="23.25">
      <c r="A71" s="308" t="s">
        <v>678</v>
      </c>
      <c r="B71" s="353" t="s">
        <v>679</v>
      </c>
      <c r="C71" s="283" t="s">
        <v>797</v>
      </c>
      <c r="D71" s="284"/>
      <c r="E71" s="284"/>
      <c r="F71" s="284"/>
      <c r="G71" s="284"/>
      <c r="H71" s="284"/>
      <c r="I71" s="284"/>
      <c r="J71" s="284">
        <v>1</v>
      </c>
      <c r="K71" s="287">
        <f t="shared" si="0"/>
        <v>6.5421049877008433E-2</v>
      </c>
      <c r="L71" s="351">
        <v>1</v>
      </c>
      <c r="M71" s="284">
        <v>0</v>
      </c>
      <c r="N71" s="339">
        <f t="shared" si="1"/>
        <v>0</v>
      </c>
      <c r="O71" s="287">
        <v>0</v>
      </c>
      <c r="P71" s="284">
        <v>0</v>
      </c>
      <c r="Q71" s="287">
        <f t="shared" si="2"/>
        <v>0</v>
      </c>
      <c r="R71" s="284">
        <f t="shared" si="3"/>
        <v>0</v>
      </c>
      <c r="S71" s="284">
        <v>0</v>
      </c>
      <c r="T71" s="284">
        <f t="shared" si="4"/>
        <v>0</v>
      </c>
      <c r="U71" s="287"/>
      <c r="V71" s="283"/>
      <c r="W71" s="287"/>
      <c r="X71" s="287"/>
      <c r="Y71" s="287"/>
      <c r="Z71" s="287"/>
      <c r="AA71" s="287"/>
      <c r="AB71" s="287"/>
      <c r="AC71" s="287"/>
      <c r="AD71" s="287"/>
      <c r="AE71" s="287"/>
      <c r="AF71" s="287"/>
      <c r="AG71" s="287"/>
      <c r="AH71" s="287"/>
      <c r="AI71" s="284"/>
      <c r="AJ71" s="284"/>
      <c r="AK71" s="360"/>
      <c r="AL71" s="305"/>
      <c r="AM71" s="305"/>
      <c r="AN71" s="305"/>
      <c r="AO71" s="305"/>
      <c r="AP71" s="305"/>
      <c r="AQ71" s="305"/>
      <c r="AR71" s="305"/>
      <c r="AS71" s="305"/>
      <c r="AT71" s="305"/>
      <c r="AU71" s="305"/>
    </row>
    <row r="72" spans="1:47" s="306" customFormat="1" ht="23.25">
      <c r="A72" s="308" t="s">
        <v>277</v>
      </c>
      <c r="B72" s="353" t="s">
        <v>680</v>
      </c>
      <c r="C72" s="283" t="s">
        <v>797</v>
      </c>
      <c r="D72" s="284"/>
      <c r="E72" s="284"/>
      <c r="F72" s="284"/>
      <c r="G72" s="284"/>
      <c r="H72" s="284"/>
      <c r="I72" s="284"/>
      <c r="J72" s="284">
        <v>5</v>
      </c>
      <c r="K72" s="287">
        <f t="shared" si="0"/>
        <v>6.5421049877008433E-2</v>
      </c>
      <c r="L72" s="351">
        <v>1</v>
      </c>
      <c r="M72" s="284">
        <v>0</v>
      </c>
      <c r="N72" s="339">
        <f t="shared" si="1"/>
        <v>0</v>
      </c>
      <c r="O72" s="287">
        <v>0</v>
      </c>
      <c r="P72" s="284">
        <v>1</v>
      </c>
      <c r="Q72" s="287">
        <f t="shared" si="2"/>
        <v>1.3084209975401688E-2</v>
      </c>
      <c r="R72" s="284">
        <f t="shared" si="3"/>
        <v>20</v>
      </c>
      <c r="S72" s="284">
        <v>0</v>
      </c>
      <c r="T72" s="284">
        <f t="shared" si="4"/>
        <v>0</v>
      </c>
      <c r="U72" s="287"/>
      <c r="V72" s="283"/>
      <c r="W72" s="287"/>
      <c r="X72" s="287"/>
      <c r="Y72" s="287"/>
      <c r="Z72" s="287"/>
      <c r="AA72" s="287"/>
      <c r="AB72" s="287"/>
      <c r="AC72" s="287"/>
      <c r="AD72" s="287"/>
      <c r="AE72" s="287"/>
      <c r="AF72" s="287"/>
      <c r="AG72" s="287"/>
      <c r="AH72" s="287"/>
      <c r="AI72" s="284"/>
      <c r="AJ72" s="284"/>
      <c r="AK72" s="360"/>
      <c r="AL72" s="305"/>
      <c r="AM72" s="305"/>
      <c r="AN72" s="305"/>
      <c r="AO72" s="305"/>
      <c r="AP72" s="305"/>
      <c r="AQ72" s="305"/>
      <c r="AR72" s="305"/>
      <c r="AS72" s="305"/>
      <c r="AT72" s="305"/>
      <c r="AU72" s="305"/>
    </row>
    <row r="73" spans="1:47" s="306" customFormat="1" ht="23.25">
      <c r="A73" s="308" t="s">
        <v>279</v>
      </c>
      <c r="B73" s="353" t="s">
        <v>681</v>
      </c>
      <c r="C73" s="283" t="s">
        <v>797</v>
      </c>
      <c r="D73" s="284"/>
      <c r="E73" s="284"/>
      <c r="F73" s="284"/>
      <c r="G73" s="284"/>
      <c r="H73" s="284"/>
      <c r="I73" s="284"/>
      <c r="J73" s="284">
        <v>24.75</v>
      </c>
      <c r="K73" s="287">
        <f t="shared" si="0"/>
        <v>3.2710524938504215</v>
      </c>
      <c r="L73" s="351">
        <v>50</v>
      </c>
      <c r="M73" s="284">
        <v>5</v>
      </c>
      <c r="N73" s="339">
        <f t="shared" si="1"/>
        <v>0.6542104987700843</v>
      </c>
      <c r="O73" s="287">
        <v>10</v>
      </c>
      <c r="P73" s="284">
        <v>5</v>
      </c>
      <c r="Q73" s="287">
        <f t="shared" si="2"/>
        <v>0.6542104987700843</v>
      </c>
      <c r="R73" s="284">
        <f t="shared" si="3"/>
        <v>100</v>
      </c>
      <c r="S73" s="284">
        <v>0</v>
      </c>
      <c r="T73" s="284">
        <f t="shared" si="4"/>
        <v>0</v>
      </c>
      <c r="U73" s="287"/>
      <c r="V73" s="283"/>
      <c r="W73" s="287"/>
      <c r="X73" s="287"/>
      <c r="Y73" s="287"/>
      <c r="Z73" s="287"/>
      <c r="AA73" s="287"/>
      <c r="AB73" s="287"/>
      <c r="AC73" s="287"/>
      <c r="AD73" s="287"/>
      <c r="AE73" s="287"/>
      <c r="AF73" s="287"/>
      <c r="AG73" s="287"/>
      <c r="AH73" s="287"/>
      <c r="AI73" s="284"/>
      <c r="AJ73" s="284"/>
      <c r="AK73" s="360"/>
      <c r="AL73" s="305"/>
      <c r="AM73" s="305"/>
      <c r="AN73" s="305"/>
      <c r="AO73" s="305"/>
      <c r="AP73" s="305"/>
      <c r="AQ73" s="305"/>
      <c r="AR73" s="305"/>
      <c r="AS73" s="305"/>
      <c r="AT73" s="305"/>
      <c r="AU73" s="305"/>
    </row>
    <row r="74" spans="1:47" s="306" customFormat="1" ht="23.25">
      <c r="A74" s="308" t="s">
        <v>281</v>
      </c>
      <c r="B74" s="354" t="s">
        <v>807</v>
      </c>
      <c r="C74" s="283" t="s">
        <v>797</v>
      </c>
      <c r="D74" s="284"/>
      <c r="E74" s="284"/>
      <c r="F74" s="284"/>
      <c r="G74" s="284"/>
      <c r="H74" s="284"/>
      <c r="I74" s="284"/>
      <c r="J74" s="284">
        <v>3</v>
      </c>
      <c r="K74" s="287">
        <f t="shared" si="0"/>
        <v>0.78505259852410103</v>
      </c>
      <c r="L74" s="351">
        <v>12</v>
      </c>
      <c r="M74" s="284">
        <v>0</v>
      </c>
      <c r="N74" s="339">
        <f t="shared" si="1"/>
        <v>0</v>
      </c>
      <c r="O74" s="287">
        <v>0</v>
      </c>
      <c r="P74" s="284">
        <v>0</v>
      </c>
      <c r="Q74" s="287">
        <f t="shared" si="2"/>
        <v>0</v>
      </c>
      <c r="R74" s="284">
        <f t="shared" si="3"/>
        <v>0</v>
      </c>
      <c r="S74" s="284">
        <v>0</v>
      </c>
      <c r="T74" s="284">
        <f t="shared" si="4"/>
        <v>0</v>
      </c>
      <c r="U74" s="287"/>
      <c r="V74" s="283"/>
      <c r="W74" s="287"/>
      <c r="X74" s="287"/>
      <c r="Y74" s="287"/>
      <c r="Z74" s="287"/>
      <c r="AA74" s="287"/>
      <c r="AB74" s="287"/>
      <c r="AC74" s="287"/>
      <c r="AD74" s="287"/>
      <c r="AE74" s="287"/>
      <c r="AF74" s="287"/>
      <c r="AG74" s="287"/>
      <c r="AH74" s="287"/>
      <c r="AI74" s="284"/>
      <c r="AJ74" s="284"/>
      <c r="AK74" s="360"/>
      <c r="AL74" s="305"/>
      <c r="AM74" s="305"/>
      <c r="AN74" s="305"/>
      <c r="AO74" s="305"/>
      <c r="AP74" s="305"/>
      <c r="AQ74" s="305"/>
      <c r="AR74" s="305"/>
      <c r="AS74" s="305"/>
      <c r="AT74" s="305"/>
      <c r="AU74" s="305"/>
    </row>
    <row r="75" spans="1:47" s="306" customFormat="1" ht="23.25">
      <c r="A75" s="308" t="s">
        <v>285</v>
      </c>
      <c r="B75" s="354" t="s">
        <v>683</v>
      </c>
      <c r="C75" s="283" t="s">
        <v>797</v>
      </c>
      <c r="D75" s="284"/>
      <c r="E75" s="284"/>
      <c r="F75" s="284"/>
      <c r="G75" s="284"/>
      <c r="H75" s="284"/>
      <c r="I75" s="284"/>
      <c r="J75" s="284">
        <v>2</v>
      </c>
      <c r="K75" s="287">
        <f t="shared" si="0"/>
        <v>0.32710524938504215</v>
      </c>
      <c r="L75" s="351">
        <v>5</v>
      </c>
      <c r="M75" s="284">
        <v>0</v>
      </c>
      <c r="N75" s="339">
        <f t="shared" si="1"/>
        <v>0</v>
      </c>
      <c r="O75" s="287">
        <v>0</v>
      </c>
      <c r="P75" s="284">
        <v>0</v>
      </c>
      <c r="Q75" s="287">
        <f t="shared" si="2"/>
        <v>0</v>
      </c>
      <c r="R75" s="284">
        <f t="shared" si="3"/>
        <v>0</v>
      </c>
      <c r="S75" s="284">
        <v>0</v>
      </c>
      <c r="T75" s="284">
        <f t="shared" si="4"/>
        <v>0</v>
      </c>
      <c r="U75" s="287"/>
      <c r="V75" s="283"/>
      <c r="W75" s="287"/>
      <c r="X75" s="287"/>
      <c r="Y75" s="287"/>
      <c r="Z75" s="287"/>
      <c r="AA75" s="287"/>
      <c r="AB75" s="287"/>
      <c r="AC75" s="287"/>
      <c r="AD75" s="287"/>
      <c r="AE75" s="287"/>
      <c r="AF75" s="287"/>
      <c r="AG75" s="287"/>
      <c r="AH75" s="287"/>
      <c r="AI75" s="284"/>
      <c r="AJ75" s="284"/>
      <c r="AK75" s="360"/>
      <c r="AL75" s="305"/>
      <c r="AM75" s="305"/>
      <c r="AN75" s="305"/>
      <c r="AO75" s="305"/>
      <c r="AP75" s="305"/>
      <c r="AQ75" s="305"/>
      <c r="AR75" s="305"/>
      <c r="AS75" s="305"/>
      <c r="AT75" s="305"/>
      <c r="AU75" s="305"/>
    </row>
    <row r="76" spans="1:47" s="306" customFormat="1" ht="23.25">
      <c r="A76" s="308" t="s">
        <v>287</v>
      </c>
      <c r="B76" s="353" t="s">
        <v>684</v>
      </c>
      <c r="C76" s="283" t="s">
        <v>797</v>
      </c>
      <c r="D76" s="284"/>
      <c r="E76" s="284"/>
      <c r="F76" s="284"/>
      <c r="G76" s="284"/>
      <c r="H76" s="284"/>
      <c r="I76" s="284"/>
      <c r="J76" s="284">
        <v>3</v>
      </c>
      <c r="K76" s="287">
        <f t="shared" si="0"/>
        <v>0.29439472444653791</v>
      </c>
      <c r="L76" s="351">
        <v>4.5</v>
      </c>
      <c r="M76" s="284">
        <v>0</v>
      </c>
      <c r="N76" s="339">
        <f t="shared" si="1"/>
        <v>0</v>
      </c>
      <c r="O76" s="287">
        <v>0</v>
      </c>
      <c r="P76" s="284">
        <v>0</v>
      </c>
      <c r="Q76" s="287">
        <f t="shared" si="2"/>
        <v>0</v>
      </c>
      <c r="R76" s="284">
        <f t="shared" si="3"/>
        <v>0</v>
      </c>
      <c r="S76" s="284">
        <v>0</v>
      </c>
      <c r="T76" s="284">
        <f t="shared" si="4"/>
        <v>0</v>
      </c>
      <c r="U76" s="287"/>
      <c r="V76" s="283"/>
      <c r="W76" s="287"/>
      <c r="X76" s="287"/>
      <c r="Y76" s="287"/>
      <c r="Z76" s="287"/>
      <c r="AA76" s="287"/>
      <c r="AB76" s="287"/>
      <c r="AC76" s="287"/>
      <c r="AD76" s="287"/>
      <c r="AE76" s="287"/>
      <c r="AF76" s="287"/>
      <c r="AG76" s="287"/>
      <c r="AH76" s="287"/>
      <c r="AI76" s="284"/>
      <c r="AJ76" s="284"/>
      <c r="AK76" s="360"/>
      <c r="AL76" s="305"/>
      <c r="AM76" s="305"/>
      <c r="AN76" s="305"/>
      <c r="AO76" s="305"/>
      <c r="AP76" s="305"/>
      <c r="AQ76" s="305"/>
      <c r="AR76" s="305"/>
      <c r="AS76" s="305"/>
      <c r="AT76" s="305"/>
      <c r="AU76" s="305"/>
    </row>
    <row r="77" spans="1:47" s="306" customFormat="1" ht="23.25">
      <c r="A77" s="308" t="s">
        <v>289</v>
      </c>
      <c r="B77" s="355" t="s">
        <v>685</v>
      </c>
      <c r="C77" s="283" t="s">
        <v>797</v>
      </c>
      <c r="D77" s="284"/>
      <c r="E77" s="284"/>
      <c r="F77" s="284"/>
      <c r="G77" s="284"/>
      <c r="H77" s="284"/>
      <c r="I77" s="284"/>
      <c r="J77" s="284">
        <v>3</v>
      </c>
      <c r="K77" s="287">
        <f t="shared" si="0"/>
        <v>0.29439472444653791</v>
      </c>
      <c r="L77" s="351">
        <v>4.5</v>
      </c>
      <c r="M77" s="284">
        <v>0</v>
      </c>
      <c r="N77" s="339">
        <f t="shared" si="1"/>
        <v>0</v>
      </c>
      <c r="O77" s="287">
        <v>0</v>
      </c>
      <c r="P77" s="284">
        <v>0</v>
      </c>
      <c r="Q77" s="287">
        <f t="shared" si="2"/>
        <v>0</v>
      </c>
      <c r="R77" s="284">
        <f t="shared" si="3"/>
        <v>0</v>
      </c>
      <c r="S77" s="284">
        <v>0</v>
      </c>
      <c r="T77" s="284">
        <f t="shared" si="4"/>
        <v>0</v>
      </c>
      <c r="U77" s="287"/>
      <c r="V77" s="283"/>
      <c r="W77" s="287"/>
      <c r="X77" s="287"/>
      <c r="Y77" s="287"/>
      <c r="Z77" s="287"/>
      <c r="AA77" s="287"/>
      <c r="AB77" s="287"/>
      <c r="AC77" s="287"/>
      <c r="AD77" s="287"/>
      <c r="AE77" s="287"/>
      <c r="AF77" s="287"/>
      <c r="AG77" s="287"/>
      <c r="AH77" s="287"/>
      <c r="AI77" s="284"/>
      <c r="AJ77" s="284"/>
      <c r="AK77" s="360"/>
      <c r="AL77" s="305"/>
      <c r="AM77" s="305"/>
      <c r="AN77" s="305"/>
      <c r="AO77" s="305"/>
      <c r="AP77" s="305"/>
      <c r="AQ77" s="305"/>
      <c r="AR77" s="305"/>
      <c r="AS77" s="305"/>
      <c r="AT77" s="305"/>
      <c r="AU77" s="305"/>
    </row>
    <row r="78" spans="1:47" s="306" customFormat="1" ht="23.25">
      <c r="A78" s="308" t="s">
        <v>289</v>
      </c>
      <c r="B78" s="354" t="s">
        <v>686</v>
      </c>
      <c r="C78" s="340" t="s">
        <v>794</v>
      </c>
      <c r="D78" s="284"/>
      <c r="E78" s="284"/>
      <c r="F78" s="284"/>
      <c r="G78" s="284"/>
      <c r="H78" s="284"/>
      <c r="I78" s="284"/>
      <c r="J78" s="284">
        <v>3.6</v>
      </c>
      <c r="K78" s="287">
        <f t="shared" si="0"/>
        <v>0.6542104987700843</v>
      </c>
      <c r="L78" s="351">
        <v>10</v>
      </c>
      <c r="M78" s="284">
        <v>3.6</v>
      </c>
      <c r="N78" s="339">
        <f t="shared" si="1"/>
        <v>0.6542104987700843</v>
      </c>
      <c r="O78" s="287">
        <v>10</v>
      </c>
      <c r="P78" s="284">
        <v>1</v>
      </c>
      <c r="Q78" s="287">
        <f t="shared" si="2"/>
        <v>0.18172513854724565</v>
      </c>
      <c r="R78" s="284">
        <f t="shared" si="3"/>
        <v>27.78</v>
      </c>
      <c r="S78" s="284">
        <v>0</v>
      </c>
      <c r="T78" s="284">
        <f t="shared" si="4"/>
        <v>0</v>
      </c>
      <c r="U78" s="287"/>
      <c r="V78" s="283"/>
      <c r="W78" s="287"/>
      <c r="X78" s="287"/>
      <c r="Y78" s="287"/>
      <c r="Z78" s="287"/>
      <c r="AA78" s="287"/>
      <c r="AB78" s="287"/>
      <c r="AC78" s="287"/>
      <c r="AD78" s="287"/>
      <c r="AE78" s="287"/>
      <c r="AF78" s="287"/>
      <c r="AG78" s="287"/>
      <c r="AH78" s="287"/>
      <c r="AI78" s="284"/>
      <c r="AJ78" s="284"/>
      <c r="AK78" s="360"/>
      <c r="AL78" s="305"/>
      <c r="AM78" s="305"/>
      <c r="AN78" s="305"/>
      <c r="AO78" s="305"/>
      <c r="AP78" s="305"/>
      <c r="AQ78" s="305"/>
      <c r="AR78" s="305"/>
      <c r="AS78" s="305"/>
      <c r="AT78" s="305"/>
      <c r="AU78" s="305"/>
    </row>
    <row r="79" spans="1:47" s="306" customFormat="1" ht="23.25">
      <c r="A79" s="308" t="s">
        <v>291</v>
      </c>
      <c r="B79" s="353" t="s">
        <v>687</v>
      </c>
      <c r="C79" s="341" t="s">
        <v>797</v>
      </c>
      <c r="D79" s="284"/>
      <c r="E79" s="284"/>
      <c r="F79" s="284"/>
      <c r="G79" s="284"/>
      <c r="H79" s="284"/>
      <c r="I79" s="284"/>
      <c r="J79" s="284">
        <v>5</v>
      </c>
      <c r="K79" s="287">
        <f t="shared" si="0"/>
        <v>0.32710524938504215</v>
      </c>
      <c r="L79" s="351">
        <v>5</v>
      </c>
      <c r="M79" s="284">
        <v>0</v>
      </c>
      <c r="N79" s="339">
        <f t="shared" si="1"/>
        <v>0</v>
      </c>
      <c r="O79" s="287">
        <v>0</v>
      </c>
      <c r="P79" s="284">
        <v>0</v>
      </c>
      <c r="Q79" s="287">
        <f t="shared" si="2"/>
        <v>0</v>
      </c>
      <c r="R79" s="284">
        <f t="shared" si="3"/>
        <v>0</v>
      </c>
      <c r="S79" s="284">
        <v>0</v>
      </c>
      <c r="T79" s="284">
        <f t="shared" si="4"/>
        <v>0</v>
      </c>
      <c r="U79" s="287"/>
      <c r="V79" s="283"/>
      <c r="W79" s="287"/>
      <c r="X79" s="287"/>
      <c r="Y79" s="287"/>
      <c r="Z79" s="287"/>
      <c r="AA79" s="287"/>
      <c r="AB79" s="287"/>
      <c r="AC79" s="287"/>
      <c r="AD79" s="287"/>
      <c r="AE79" s="287"/>
      <c r="AF79" s="287"/>
      <c r="AG79" s="287"/>
      <c r="AH79" s="287"/>
      <c r="AI79" s="284"/>
      <c r="AJ79" s="284"/>
      <c r="AK79" s="360"/>
      <c r="AL79" s="305"/>
      <c r="AM79" s="305"/>
      <c r="AN79" s="305"/>
      <c r="AO79" s="305"/>
      <c r="AP79" s="305"/>
      <c r="AQ79" s="305"/>
      <c r="AR79" s="305"/>
      <c r="AS79" s="305"/>
      <c r="AT79" s="305"/>
      <c r="AU79" s="305"/>
    </row>
    <row r="80" spans="1:47" s="306" customFormat="1" ht="23.25">
      <c r="A80" s="308" t="s">
        <v>293</v>
      </c>
      <c r="B80" s="353" t="s">
        <v>688</v>
      </c>
      <c r="C80" s="341" t="s">
        <v>797</v>
      </c>
      <c r="D80" s="284"/>
      <c r="E80" s="284"/>
      <c r="F80" s="284"/>
      <c r="G80" s="284"/>
      <c r="H80" s="284"/>
      <c r="I80" s="284"/>
      <c r="J80" s="284">
        <v>3</v>
      </c>
      <c r="K80" s="287">
        <f t="shared" si="0"/>
        <v>0.29439472444653791</v>
      </c>
      <c r="L80" s="351">
        <v>4.5</v>
      </c>
      <c r="M80" s="284">
        <v>0</v>
      </c>
      <c r="N80" s="339">
        <f t="shared" si="1"/>
        <v>0</v>
      </c>
      <c r="O80" s="287">
        <v>0</v>
      </c>
      <c r="P80" s="284">
        <v>0</v>
      </c>
      <c r="Q80" s="287">
        <f t="shared" si="2"/>
        <v>0</v>
      </c>
      <c r="R80" s="284">
        <f t="shared" si="3"/>
        <v>0</v>
      </c>
      <c r="S80" s="284">
        <v>0</v>
      </c>
      <c r="T80" s="284">
        <f t="shared" si="4"/>
        <v>0</v>
      </c>
      <c r="U80" s="287"/>
      <c r="V80" s="283"/>
      <c r="W80" s="287"/>
      <c r="X80" s="287"/>
      <c r="Y80" s="287"/>
      <c r="Z80" s="287"/>
      <c r="AA80" s="287"/>
      <c r="AB80" s="287"/>
      <c r="AC80" s="287"/>
      <c r="AD80" s="287"/>
      <c r="AE80" s="287"/>
      <c r="AF80" s="287"/>
      <c r="AG80" s="287"/>
      <c r="AH80" s="287"/>
      <c r="AI80" s="284"/>
      <c r="AJ80" s="284"/>
      <c r="AK80" s="360"/>
      <c r="AL80" s="305"/>
      <c r="AM80" s="305"/>
      <c r="AN80" s="305"/>
      <c r="AO80" s="305"/>
      <c r="AP80" s="305"/>
      <c r="AQ80" s="305"/>
      <c r="AR80" s="305"/>
      <c r="AS80" s="305"/>
      <c r="AT80" s="305"/>
      <c r="AU80" s="305"/>
    </row>
    <row r="81" spans="1:47" s="306" customFormat="1" ht="23.25">
      <c r="A81" s="308" t="s">
        <v>297</v>
      </c>
      <c r="B81" s="353" t="s">
        <v>689</v>
      </c>
      <c r="C81" s="341" t="s">
        <v>797</v>
      </c>
      <c r="D81" s="284"/>
      <c r="E81" s="284"/>
      <c r="F81" s="284"/>
      <c r="G81" s="284"/>
      <c r="H81" s="284"/>
      <c r="I81" s="284"/>
      <c r="J81" s="284">
        <v>7.5</v>
      </c>
      <c r="K81" s="287">
        <f t="shared" si="0"/>
        <v>0.98131574815512634</v>
      </c>
      <c r="L81" s="351">
        <v>15</v>
      </c>
      <c r="M81" s="284">
        <v>2</v>
      </c>
      <c r="N81" s="339">
        <f t="shared" si="1"/>
        <v>0.26168419950803373</v>
      </c>
      <c r="O81" s="287">
        <v>4</v>
      </c>
      <c r="P81" s="284">
        <v>0</v>
      </c>
      <c r="Q81" s="287">
        <f t="shared" si="2"/>
        <v>0</v>
      </c>
      <c r="R81" s="284">
        <f t="shared" si="3"/>
        <v>0</v>
      </c>
      <c r="S81" s="284">
        <v>0</v>
      </c>
      <c r="T81" s="284">
        <f t="shared" si="4"/>
        <v>0</v>
      </c>
      <c r="U81" s="287"/>
      <c r="V81" s="283"/>
      <c r="W81" s="287"/>
      <c r="X81" s="287"/>
      <c r="Y81" s="287"/>
      <c r="Z81" s="287"/>
      <c r="AA81" s="287"/>
      <c r="AB81" s="287"/>
      <c r="AC81" s="287"/>
      <c r="AD81" s="287"/>
      <c r="AE81" s="287"/>
      <c r="AF81" s="287"/>
      <c r="AG81" s="287"/>
      <c r="AH81" s="287"/>
      <c r="AI81" s="284"/>
      <c r="AJ81" s="284"/>
      <c r="AK81" s="360"/>
      <c r="AL81" s="305"/>
      <c r="AM81" s="305"/>
      <c r="AN81" s="305"/>
      <c r="AO81" s="305"/>
      <c r="AP81" s="305"/>
      <c r="AQ81" s="305"/>
      <c r="AR81" s="305"/>
      <c r="AS81" s="305"/>
      <c r="AT81" s="305"/>
      <c r="AU81" s="305"/>
    </row>
    <row r="82" spans="1:47" s="306" customFormat="1" ht="23.25">
      <c r="A82" s="308" t="s">
        <v>299</v>
      </c>
      <c r="B82" s="353" t="s">
        <v>690</v>
      </c>
      <c r="C82" s="341" t="s">
        <v>797</v>
      </c>
      <c r="D82" s="284"/>
      <c r="E82" s="284"/>
      <c r="F82" s="284"/>
      <c r="G82" s="284"/>
      <c r="H82" s="284"/>
      <c r="I82" s="284"/>
      <c r="J82" s="284">
        <v>1</v>
      </c>
      <c r="K82" s="287">
        <f t="shared" si="0"/>
        <v>0.13084209975401687</v>
      </c>
      <c r="L82" s="351">
        <v>2</v>
      </c>
      <c r="M82" s="284">
        <v>0</v>
      </c>
      <c r="N82" s="339">
        <f t="shared" si="1"/>
        <v>0</v>
      </c>
      <c r="O82" s="287">
        <v>0</v>
      </c>
      <c r="P82" s="284">
        <v>0</v>
      </c>
      <c r="Q82" s="287">
        <f t="shared" si="2"/>
        <v>0</v>
      </c>
      <c r="R82" s="284">
        <f t="shared" si="3"/>
        <v>0</v>
      </c>
      <c r="S82" s="284">
        <v>0</v>
      </c>
      <c r="T82" s="284">
        <f t="shared" si="4"/>
        <v>0</v>
      </c>
      <c r="U82" s="287"/>
      <c r="V82" s="283"/>
      <c r="W82" s="287"/>
      <c r="X82" s="287"/>
      <c r="Y82" s="287"/>
      <c r="Z82" s="287"/>
      <c r="AA82" s="287"/>
      <c r="AB82" s="287"/>
      <c r="AC82" s="287"/>
      <c r="AD82" s="287"/>
      <c r="AE82" s="287"/>
      <c r="AF82" s="287"/>
      <c r="AG82" s="287"/>
      <c r="AH82" s="287"/>
      <c r="AI82" s="284"/>
      <c r="AJ82" s="284"/>
      <c r="AK82" s="360"/>
      <c r="AL82" s="305"/>
      <c r="AM82" s="305"/>
      <c r="AN82" s="305"/>
      <c r="AO82" s="305"/>
      <c r="AP82" s="305"/>
      <c r="AQ82" s="305"/>
      <c r="AR82" s="305"/>
      <c r="AS82" s="305"/>
      <c r="AT82" s="305"/>
      <c r="AU82" s="305"/>
    </row>
    <row r="83" spans="1:47" s="306" customFormat="1" ht="23.25">
      <c r="A83" s="308" t="s">
        <v>301</v>
      </c>
      <c r="B83" s="304" t="s">
        <v>691</v>
      </c>
      <c r="C83" s="341" t="s">
        <v>797</v>
      </c>
      <c r="D83" s="284"/>
      <c r="E83" s="284"/>
      <c r="F83" s="284"/>
      <c r="G83" s="284"/>
      <c r="H83" s="284"/>
      <c r="I83" s="284"/>
      <c r="J83" s="284">
        <v>1</v>
      </c>
      <c r="K83" s="287">
        <f t="shared" si="0"/>
        <v>1.9626314963102527</v>
      </c>
      <c r="L83" s="351">
        <v>30</v>
      </c>
      <c r="M83" s="284">
        <v>0</v>
      </c>
      <c r="N83" s="339">
        <f t="shared" si="1"/>
        <v>0</v>
      </c>
      <c r="O83" s="287">
        <v>0</v>
      </c>
      <c r="P83" s="284">
        <v>0</v>
      </c>
      <c r="Q83" s="287">
        <f t="shared" si="2"/>
        <v>0</v>
      </c>
      <c r="R83" s="284">
        <f t="shared" si="3"/>
        <v>0</v>
      </c>
      <c r="S83" s="284">
        <v>0</v>
      </c>
      <c r="T83" s="284">
        <f t="shared" si="4"/>
        <v>0</v>
      </c>
      <c r="U83" s="287"/>
      <c r="V83" s="283"/>
      <c r="W83" s="287"/>
      <c r="X83" s="287"/>
      <c r="Y83" s="287"/>
      <c r="Z83" s="287"/>
      <c r="AA83" s="287"/>
      <c r="AB83" s="287"/>
      <c r="AC83" s="287"/>
      <c r="AD83" s="287"/>
      <c r="AE83" s="287"/>
      <c r="AF83" s="287"/>
      <c r="AG83" s="287"/>
      <c r="AH83" s="287"/>
      <c r="AI83" s="284"/>
      <c r="AJ83" s="284"/>
      <c r="AK83" s="360"/>
      <c r="AL83" s="305"/>
      <c r="AM83" s="305"/>
      <c r="AN83" s="305"/>
      <c r="AO83" s="305"/>
      <c r="AP83" s="305"/>
      <c r="AQ83" s="305"/>
      <c r="AR83" s="305"/>
      <c r="AS83" s="305"/>
      <c r="AT83" s="305"/>
      <c r="AU83" s="305"/>
    </row>
    <row r="84" spans="1:47" s="306" customFormat="1" ht="23.25">
      <c r="A84" s="308" t="s">
        <v>692</v>
      </c>
      <c r="B84" s="304" t="s">
        <v>693</v>
      </c>
      <c r="C84" s="341" t="s">
        <v>797</v>
      </c>
      <c r="D84" s="284"/>
      <c r="E84" s="284"/>
      <c r="F84" s="284"/>
      <c r="G84" s="284"/>
      <c r="H84" s="284"/>
      <c r="I84" s="284"/>
      <c r="J84" s="284">
        <v>1</v>
      </c>
      <c r="K84" s="287">
        <f t="shared" si="0"/>
        <v>1.3084209975401686</v>
      </c>
      <c r="L84" s="351">
        <v>20</v>
      </c>
      <c r="M84" s="284">
        <v>0</v>
      </c>
      <c r="N84" s="339">
        <f t="shared" si="1"/>
        <v>0</v>
      </c>
      <c r="O84" s="287">
        <v>0</v>
      </c>
      <c r="P84" s="284">
        <v>0</v>
      </c>
      <c r="Q84" s="287">
        <f t="shared" si="2"/>
        <v>0</v>
      </c>
      <c r="R84" s="284">
        <f t="shared" si="3"/>
        <v>0</v>
      </c>
      <c r="S84" s="284">
        <v>0</v>
      </c>
      <c r="T84" s="284">
        <f t="shared" si="4"/>
        <v>0</v>
      </c>
      <c r="U84" s="287"/>
      <c r="V84" s="283"/>
      <c r="W84" s="287"/>
      <c r="X84" s="287"/>
      <c r="Y84" s="287"/>
      <c r="Z84" s="287"/>
      <c r="AA84" s="287"/>
      <c r="AB84" s="287"/>
      <c r="AC84" s="287"/>
      <c r="AD84" s="287"/>
      <c r="AE84" s="287"/>
      <c r="AF84" s="287"/>
      <c r="AG84" s="287"/>
      <c r="AH84" s="287"/>
      <c r="AI84" s="284"/>
      <c r="AJ84" s="284"/>
      <c r="AK84" s="360"/>
      <c r="AL84" s="305"/>
      <c r="AM84" s="305"/>
      <c r="AN84" s="305"/>
      <c r="AO84" s="305"/>
      <c r="AP84" s="305"/>
      <c r="AQ84" s="305"/>
      <c r="AR84" s="305"/>
      <c r="AS84" s="305"/>
      <c r="AT84" s="305"/>
      <c r="AU84" s="305"/>
    </row>
    <row r="85" spans="1:47" s="306" customFormat="1" ht="23.25">
      <c r="A85" s="304" t="s">
        <v>305</v>
      </c>
      <c r="B85" s="304" t="s">
        <v>694</v>
      </c>
      <c r="C85" s="341" t="s">
        <v>797</v>
      </c>
      <c r="D85" s="284"/>
      <c r="E85" s="284"/>
      <c r="F85" s="284"/>
      <c r="G85" s="284"/>
      <c r="H85" s="284"/>
      <c r="I85" s="284"/>
      <c r="J85" s="284">
        <v>5</v>
      </c>
      <c r="K85" s="287">
        <f t="shared" si="0"/>
        <v>0.32710524938504215</v>
      </c>
      <c r="L85" s="351">
        <v>5</v>
      </c>
      <c r="M85" s="284">
        <v>0</v>
      </c>
      <c r="N85" s="339">
        <f t="shared" si="1"/>
        <v>0</v>
      </c>
      <c r="O85" s="287">
        <v>0</v>
      </c>
      <c r="P85" s="284">
        <v>0</v>
      </c>
      <c r="Q85" s="287">
        <f t="shared" si="2"/>
        <v>0</v>
      </c>
      <c r="R85" s="284">
        <f t="shared" si="3"/>
        <v>0</v>
      </c>
      <c r="S85" s="284">
        <v>0</v>
      </c>
      <c r="T85" s="284">
        <f t="shared" si="4"/>
        <v>0</v>
      </c>
      <c r="U85" s="287"/>
      <c r="V85" s="283"/>
      <c r="W85" s="287"/>
      <c r="X85" s="287"/>
      <c r="Y85" s="287"/>
      <c r="Z85" s="287"/>
      <c r="AA85" s="287"/>
      <c r="AB85" s="287"/>
      <c r="AC85" s="287"/>
      <c r="AD85" s="287"/>
      <c r="AE85" s="287"/>
      <c r="AF85" s="287"/>
      <c r="AG85" s="287"/>
      <c r="AH85" s="287"/>
      <c r="AI85" s="284"/>
      <c r="AJ85" s="284"/>
      <c r="AK85" s="360"/>
      <c r="AL85" s="305"/>
      <c r="AM85" s="305"/>
      <c r="AN85" s="305"/>
      <c r="AO85" s="305"/>
      <c r="AP85" s="305"/>
      <c r="AQ85" s="305"/>
      <c r="AR85" s="305"/>
      <c r="AS85" s="305"/>
      <c r="AT85" s="305"/>
      <c r="AU85" s="305"/>
    </row>
    <row r="86" spans="1:47" s="306" customFormat="1" ht="23.25">
      <c r="A86" s="304" t="s">
        <v>307</v>
      </c>
      <c r="B86" s="304" t="s">
        <v>695</v>
      </c>
      <c r="C86" s="341" t="s">
        <v>797</v>
      </c>
      <c r="D86" s="284"/>
      <c r="E86" s="284"/>
      <c r="F86" s="284"/>
      <c r="G86" s="284"/>
      <c r="H86" s="284"/>
      <c r="I86" s="284"/>
      <c r="J86" s="284">
        <v>1</v>
      </c>
      <c r="K86" s="287">
        <f t="shared" si="0"/>
        <v>0.98131574815512634</v>
      </c>
      <c r="L86" s="351">
        <v>15</v>
      </c>
      <c r="M86" s="284">
        <v>0</v>
      </c>
      <c r="N86" s="339">
        <f t="shared" si="1"/>
        <v>0</v>
      </c>
      <c r="O86" s="287">
        <v>0</v>
      </c>
      <c r="P86" s="284">
        <v>0</v>
      </c>
      <c r="Q86" s="287">
        <f t="shared" si="2"/>
        <v>0</v>
      </c>
      <c r="R86" s="284">
        <f t="shared" si="3"/>
        <v>0</v>
      </c>
      <c r="S86" s="284">
        <v>0</v>
      </c>
      <c r="T86" s="284">
        <f t="shared" si="4"/>
        <v>0</v>
      </c>
      <c r="U86" s="287"/>
      <c r="V86" s="283"/>
      <c r="W86" s="287"/>
      <c r="X86" s="287"/>
      <c r="Y86" s="287"/>
      <c r="Z86" s="287"/>
      <c r="AA86" s="287"/>
      <c r="AB86" s="287"/>
      <c r="AC86" s="287"/>
      <c r="AD86" s="287"/>
      <c r="AE86" s="287"/>
      <c r="AF86" s="287"/>
      <c r="AG86" s="287"/>
      <c r="AH86" s="287"/>
      <c r="AI86" s="284"/>
      <c r="AJ86" s="284"/>
      <c r="AK86" s="360"/>
      <c r="AL86" s="305"/>
      <c r="AM86" s="305"/>
      <c r="AN86" s="305"/>
      <c r="AO86" s="305"/>
      <c r="AP86" s="305"/>
      <c r="AQ86" s="305"/>
      <c r="AR86" s="305"/>
      <c r="AS86" s="305"/>
      <c r="AT86" s="305"/>
      <c r="AU86" s="305"/>
    </row>
    <row r="87" spans="1:47" s="306" customFormat="1" ht="23.25">
      <c r="A87" s="304" t="s">
        <v>309</v>
      </c>
      <c r="B87" s="304" t="s">
        <v>696</v>
      </c>
      <c r="C87" s="341" t="s">
        <v>797</v>
      </c>
      <c r="D87" s="284"/>
      <c r="E87" s="284"/>
      <c r="F87" s="284"/>
      <c r="G87" s="284"/>
      <c r="H87" s="284"/>
      <c r="I87" s="284"/>
      <c r="J87" s="284">
        <v>1</v>
      </c>
      <c r="K87" s="287">
        <f t="shared" ref="K87:K134" si="9">(L87/1528.56)*100</f>
        <v>6.542104987700843</v>
      </c>
      <c r="L87" s="351">
        <v>100</v>
      </c>
      <c r="M87" s="284">
        <v>1</v>
      </c>
      <c r="N87" s="339">
        <f t="shared" ref="N87:N134" si="10">O87/1528.56*100</f>
        <v>1.9626314963102527</v>
      </c>
      <c r="O87" s="287">
        <v>30</v>
      </c>
      <c r="P87" s="284">
        <v>1</v>
      </c>
      <c r="Q87" s="287">
        <f t="shared" ref="Q87:Q134" si="11">IF(M87=0,P87/J87*K87,P87/M87*N87)</f>
        <v>1.9626314963102527</v>
      </c>
      <c r="R87" s="284">
        <f t="shared" ref="R87:R134" si="12">ROUND(IF(N87=0,Q87/K87*100,Q87/N87*100),2)</f>
        <v>100</v>
      </c>
      <c r="S87" s="284">
        <v>0</v>
      </c>
      <c r="T87" s="284">
        <f t="shared" ref="T87:T134" si="13">IFERROR(S87/O87*100,0)</f>
        <v>0</v>
      </c>
      <c r="U87" s="287"/>
      <c r="V87" s="283"/>
      <c r="W87" s="287"/>
      <c r="X87" s="287"/>
      <c r="Y87" s="287"/>
      <c r="Z87" s="287"/>
      <c r="AA87" s="287"/>
      <c r="AB87" s="287"/>
      <c r="AC87" s="287"/>
      <c r="AD87" s="287"/>
      <c r="AE87" s="287"/>
      <c r="AF87" s="287"/>
      <c r="AG87" s="287"/>
      <c r="AH87" s="287"/>
      <c r="AI87" s="284"/>
      <c r="AJ87" s="284"/>
      <c r="AK87" s="360"/>
      <c r="AL87" s="305"/>
      <c r="AM87" s="305"/>
      <c r="AN87" s="305"/>
      <c r="AO87" s="305"/>
      <c r="AP87" s="305"/>
      <c r="AQ87" s="305"/>
      <c r="AR87" s="305"/>
      <c r="AS87" s="305"/>
      <c r="AT87" s="305"/>
      <c r="AU87" s="305"/>
    </row>
    <row r="88" spans="1:47" s="306" customFormat="1" ht="23.25">
      <c r="A88" s="304" t="s">
        <v>311</v>
      </c>
      <c r="B88" s="304" t="s">
        <v>697</v>
      </c>
      <c r="C88" s="341" t="s">
        <v>797</v>
      </c>
      <c r="D88" s="284"/>
      <c r="E88" s="284"/>
      <c r="F88" s="284"/>
      <c r="G88" s="284"/>
      <c r="H88" s="284"/>
      <c r="I88" s="284"/>
      <c r="J88" s="284">
        <v>1</v>
      </c>
      <c r="K88" s="287">
        <f t="shared" si="9"/>
        <v>6.5421049877008433E-2</v>
      </c>
      <c r="L88" s="351">
        <v>1</v>
      </c>
      <c r="M88" s="284">
        <v>0</v>
      </c>
      <c r="N88" s="339">
        <f t="shared" si="10"/>
        <v>0</v>
      </c>
      <c r="O88" s="287">
        <v>0</v>
      </c>
      <c r="P88" s="284">
        <v>0</v>
      </c>
      <c r="Q88" s="287">
        <f t="shared" si="11"/>
        <v>0</v>
      </c>
      <c r="R88" s="284">
        <f t="shared" si="12"/>
        <v>0</v>
      </c>
      <c r="S88" s="284">
        <v>0</v>
      </c>
      <c r="T88" s="284">
        <f t="shared" si="13"/>
        <v>0</v>
      </c>
      <c r="U88" s="287"/>
      <c r="V88" s="283"/>
      <c r="W88" s="287"/>
      <c r="X88" s="287"/>
      <c r="Y88" s="287"/>
      <c r="Z88" s="287"/>
      <c r="AA88" s="287"/>
      <c r="AB88" s="287"/>
      <c r="AC88" s="287"/>
      <c r="AD88" s="287"/>
      <c r="AE88" s="287"/>
      <c r="AF88" s="287"/>
      <c r="AG88" s="287"/>
      <c r="AH88" s="287"/>
      <c r="AI88" s="284"/>
      <c r="AJ88" s="284"/>
      <c r="AK88" s="360"/>
      <c r="AL88" s="305"/>
      <c r="AM88" s="305"/>
      <c r="AN88" s="305"/>
      <c r="AO88" s="305"/>
      <c r="AP88" s="305"/>
      <c r="AQ88" s="305"/>
      <c r="AR88" s="305"/>
      <c r="AS88" s="305"/>
      <c r="AT88" s="305"/>
      <c r="AU88" s="305"/>
    </row>
    <row r="89" spans="1:47" s="306" customFormat="1" ht="23.25">
      <c r="A89" s="304" t="s">
        <v>313</v>
      </c>
      <c r="B89" s="304" t="s">
        <v>698</v>
      </c>
      <c r="C89" s="341" t="s">
        <v>797</v>
      </c>
      <c r="D89" s="284"/>
      <c r="E89" s="284"/>
      <c r="F89" s="284"/>
      <c r="G89" s="284"/>
      <c r="H89" s="284"/>
      <c r="I89" s="284"/>
      <c r="J89" s="284">
        <v>1</v>
      </c>
      <c r="K89" s="287">
        <f t="shared" si="9"/>
        <v>6.5421049877008433E-2</v>
      </c>
      <c r="L89" s="351">
        <v>1</v>
      </c>
      <c r="M89" s="284">
        <v>0</v>
      </c>
      <c r="N89" s="339">
        <f t="shared" si="10"/>
        <v>0</v>
      </c>
      <c r="O89" s="287">
        <v>0</v>
      </c>
      <c r="P89" s="284">
        <v>0</v>
      </c>
      <c r="Q89" s="287">
        <f t="shared" si="11"/>
        <v>0</v>
      </c>
      <c r="R89" s="284">
        <f t="shared" si="12"/>
        <v>0</v>
      </c>
      <c r="S89" s="284">
        <v>0</v>
      </c>
      <c r="T89" s="284">
        <f t="shared" si="13"/>
        <v>0</v>
      </c>
      <c r="U89" s="287"/>
      <c r="V89" s="283"/>
      <c r="W89" s="287"/>
      <c r="X89" s="287"/>
      <c r="Y89" s="287"/>
      <c r="Z89" s="287"/>
      <c r="AA89" s="287"/>
      <c r="AB89" s="287"/>
      <c r="AC89" s="287"/>
      <c r="AD89" s="287"/>
      <c r="AE89" s="287"/>
      <c r="AF89" s="287"/>
      <c r="AG89" s="287"/>
      <c r="AH89" s="287"/>
      <c r="AI89" s="284"/>
      <c r="AJ89" s="284"/>
      <c r="AK89" s="360"/>
      <c r="AL89" s="305"/>
      <c r="AM89" s="305"/>
      <c r="AN89" s="305"/>
      <c r="AO89" s="305"/>
      <c r="AP89" s="305"/>
      <c r="AQ89" s="305"/>
      <c r="AR89" s="305"/>
      <c r="AS89" s="305"/>
      <c r="AT89" s="305"/>
      <c r="AU89" s="305"/>
    </row>
    <row r="90" spans="1:47" s="306" customFormat="1" ht="23.25">
      <c r="A90" s="304" t="s">
        <v>315</v>
      </c>
      <c r="B90" s="304" t="s">
        <v>699</v>
      </c>
      <c r="C90" s="341" t="s">
        <v>797</v>
      </c>
      <c r="D90" s="284"/>
      <c r="E90" s="284"/>
      <c r="F90" s="284"/>
      <c r="G90" s="284"/>
      <c r="H90" s="284"/>
      <c r="I90" s="284"/>
      <c r="J90" s="284">
        <v>1</v>
      </c>
      <c r="K90" s="287">
        <f t="shared" si="9"/>
        <v>6.5421049877008433E-2</v>
      </c>
      <c r="L90" s="351">
        <v>1</v>
      </c>
      <c r="M90" s="284">
        <v>0</v>
      </c>
      <c r="N90" s="339">
        <f t="shared" si="10"/>
        <v>0</v>
      </c>
      <c r="O90" s="287">
        <v>0</v>
      </c>
      <c r="P90" s="284">
        <v>0</v>
      </c>
      <c r="Q90" s="287">
        <f t="shared" si="11"/>
        <v>0</v>
      </c>
      <c r="R90" s="284">
        <f t="shared" si="12"/>
        <v>0</v>
      </c>
      <c r="S90" s="284">
        <v>0</v>
      </c>
      <c r="T90" s="284">
        <f t="shared" si="13"/>
        <v>0</v>
      </c>
      <c r="U90" s="287"/>
      <c r="V90" s="283"/>
      <c r="W90" s="287"/>
      <c r="X90" s="287"/>
      <c r="Y90" s="287"/>
      <c r="Z90" s="287"/>
      <c r="AA90" s="287"/>
      <c r="AB90" s="287"/>
      <c r="AC90" s="287"/>
      <c r="AD90" s="287"/>
      <c r="AE90" s="287"/>
      <c r="AF90" s="287"/>
      <c r="AG90" s="287"/>
      <c r="AH90" s="287"/>
      <c r="AI90" s="284"/>
      <c r="AJ90" s="284"/>
      <c r="AK90" s="360"/>
      <c r="AL90" s="305"/>
      <c r="AM90" s="305"/>
      <c r="AN90" s="305"/>
      <c r="AO90" s="305"/>
      <c r="AP90" s="305"/>
      <c r="AQ90" s="305"/>
      <c r="AR90" s="305"/>
      <c r="AS90" s="305"/>
      <c r="AT90" s="305"/>
      <c r="AU90" s="305"/>
    </row>
    <row r="91" spans="1:47" s="306" customFormat="1" ht="23.25">
      <c r="A91" s="304" t="s">
        <v>317</v>
      </c>
      <c r="B91" s="304" t="s">
        <v>700</v>
      </c>
      <c r="C91" s="341" t="s">
        <v>797</v>
      </c>
      <c r="D91" s="284"/>
      <c r="E91" s="284"/>
      <c r="F91" s="284"/>
      <c r="G91" s="284"/>
      <c r="H91" s="284"/>
      <c r="I91" s="284"/>
      <c r="J91" s="284">
        <v>1</v>
      </c>
      <c r="K91" s="287">
        <f t="shared" si="9"/>
        <v>6.5421049877008433E-2</v>
      </c>
      <c r="L91" s="351">
        <v>1</v>
      </c>
      <c r="M91" s="284">
        <v>0</v>
      </c>
      <c r="N91" s="339">
        <f t="shared" si="10"/>
        <v>0</v>
      </c>
      <c r="O91" s="287">
        <v>0</v>
      </c>
      <c r="P91" s="284">
        <v>0</v>
      </c>
      <c r="Q91" s="287">
        <f t="shared" si="11"/>
        <v>0</v>
      </c>
      <c r="R91" s="284">
        <f t="shared" si="12"/>
        <v>0</v>
      </c>
      <c r="S91" s="284">
        <v>0</v>
      </c>
      <c r="T91" s="284">
        <f t="shared" si="13"/>
        <v>0</v>
      </c>
      <c r="U91" s="287"/>
      <c r="V91" s="283"/>
      <c r="W91" s="287"/>
      <c r="X91" s="287"/>
      <c r="Y91" s="287"/>
      <c r="Z91" s="287"/>
      <c r="AA91" s="287"/>
      <c r="AB91" s="287"/>
      <c r="AC91" s="287"/>
      <c r="AD91" s="287"/>
      <c r="AE91" s="287"/>
      <c r="AF91" s="287"/>
      <c r="AG91" s="287"/>
      <c r="AH91" s="287"/>
      <c r="AI91" s="284"/>
      <c r="AJ91" s="284"/>
      <c r="AK91" s="360"/>
      <c r="AL91" s="305"/>
      <c r="AM91" s="305"/>
      <c r="AN91" s="305"/>
      <c r="AO91" s="305"/>
      <c r="AP91" s="305"/>
      <c r="AQ91" s="305"/>
      <c r="AR91" s="305"/>
      <c r="AS91" s="305"/>
      <c r="AT91" s="305"/>
      <c r="AU91" s="305"/>
    </row>
    <row r="92" spans="1:47" s="306" customFormat="1" ht="23.25">
      <c r="A92" s="304" t="s">
        <v>319</v>
      </c>
      <c r="B92" s="304" t="s">
        <v>701</v>
      </c>
      <c r="C92" s="341" t="s">
        <v>797</v>
      </c>
      <c r="D92" s="284"/>
      <c r="E92" s="284"/>
      <c r="F92" s="284"/>
      <c r="G92" s="284"/>
      <c r="H92" s="284"/>
      <c r="I92" s="284"/>
      <c r="J92" s="284">
        <v>1</v>
      </c>
      <c r="K92" s="287">
        <f t="shared" si="9"/>
        <v>6.5421049877008433E-2</v>
      </c>
      <c r="L92" s="351">
        <v>1</v>
      </c>
      <c r="M92" s="284">
        <v>0</v>
      </c>
      <c r="N92" s="339">
        <f t="shared" si="10"/>
        <v>0</v>
      </c>
      <c r="O92" s="287">
        <v>0</v>
      </c>
      <c r="P92" s="284">
        <v>0</v>
      </c>
      <c r="Q92" s="287">
        <f t="shared" si="11"/>
        <v>0</v>
      </c>
      <c r="R92" s="284">
        <f t="shared" si="12"/>
        <v>0</v>
      </c>
      <c r="S92" s="284">
        <v>0</v>
      </c>
      <c r="T92" s="284">
        <f t="shared" si="13"/>
        <v>0</v>
      </c>
      <c r="U92" s="287"/>
      <c r="V92" s="283"/>
      <c r="W92" s="287"/>
      <c r="X92" s="287"/>
      <c r="Y92" s="287"/>
      <c r="Z92" s="287"/>
      <c r="AA92" s="287"/>
      <c r="AB92" s="287"/>
      <c r="AC92" s="287"/>
      <c r="AD92" s="287"/>
      <c r="AE92" s="287"/>
      <c r="AF92" s="287"/>
      <c r="AG92" s="287"/>
      <c r="AH92" s="287"/>
      <c r="AI92" s="284"/>
      <c r="AJ92" s="284"/>
      <c r="AK92" s="360"/>
      <c r="AL92" s="305"/>
      <c r="AM92" s="305"/>
      <c r="AN92" s="305"/>
      <c r="AO92" s="305"/>
      <c r="AP92" s="305"/>
      <c r="AQ92" s="305"/>
      <c r="AR92" s="305"/>
      <c r="AS92" s="305"/>
      <c r="AT92" s="305"/>
      <c r="AU92" s="305"/>
    </row>
    <row r="93" spans="1:47" s="306" customFormat="1" ht="23.25">
      <c r="A93" s="304" t="s">
        <v>321</v>
      </c>
      <c r="B93" s="304" t="s">
        <v>702</v>
      </c>
      <c r="C93" s="341" t="s">
        <v>797</v>
      </c>
      <c r="D93" s="284"/>
      <c r="E93" s="284"/>
      <c r="F93" s="284"/>
      <c r="G93" s="284"/>
      <c r="H93" s="284"/>
      <c r="I93" s="284"/>
      <c r="J93" s="284">
        <v>20.67</v>
      </c>
      <c r="K93" s="287">
        <f t="shared" si="9"/>
        <v>2.0280525461872614</v>
      </c>
      <c r="L93" s="351">
        <v>31</v>
      </c>
      <c r="M93" s="284">
        <v>10</v>
      </c>
      <c r="N93" s="339">
        <f t="shared" si="10"/>
        <v>0.98131574815512634</v>
      </c>
      <c r="O93" s="287">
        <v>15</v>
      </c>
      <c r="P93" s="284">
        <v>7</v>
      </c>
      <c r="Q93" s="287">
        <f t="shared" si="11"/>
        <v>0.68692102370858843</v>
      </c>
      <c r="R93" s="284">
        <f t="shared" si="12"/>
        <v>70</v>
      </c>
      <c r="S93" s="284">
        <v>0</v>
      </c>
      <c r="T93" s="284">
        <f t="shared" si="13"/>
        <v>0</v>
      </c>
      <c r="U93" s="287"/>
      <c r="V93" s="283"/>
      <c r="W93" s="287"/>
      <c r="X93" s="287"/>
      <c r="Y93" s="287"/>
      <c r="Z93" s="287"/>
      <c r="AA93" s="287"/>
      <c r="AB93" s="287"/>
      <c r="AC93" s="287"/>
      <c r="AD93" s="287"/>
      <c r="AE93" s="287"/>
      <c r="AF93" s="287"/>
      <c r="AG93" s="287"/>
      <c r="AH93" s="287"/>
      <c r="AI93" s="284"/>
      <c r="AJ93" s="284"/>
      <c r="AK93" s="360"/>
      <c r="AL93" s="305"/>
      <c r="AM93" s="305"/>
      <c r="AN93" s="305"/>
      <c r="AO93" s="305"/>
      <c r="AP93" s="305"/>
      <c r="AQ93" s="305"/>
      <c r="AR93" s="305"/>
      <c r="AS93" s="305"/>
      <c r="AT93" s="305"/>
      <c r="AU93" s="305"/>
    </row>
    <row r="94" spans="1:47" s="306" customFormat="1" ht="23.25">
      <c r="A94" s="304" t="s">
        <v>325</v>
      </c>
      <c r="B94" s="304" t="s">
        <v>703</v>
      </c>
      <c r="C94" s="341" t="s">
        <v>797</v>
      </c>
      <c r="D94" s="284"/>
      <c r="E94" s="284"/>
      <c r="F94" s="284"/>
      <c r="G94" s="284"/>
      <c r="H94" s="284"/>
      <c r="I94" s="284"/>
      <c r="J94" s="284">
        <v>10</v>
      </c>
      <c r="K94" s="287">
        <f t="shared" si="9"/>
        <v>1.3084209975401686</v>
      </c>
      <c r="L94" s="351">
        <v>20</v>
      </c>
      <c r="M94" s="284">
        <v>5</v>
      </c>
      <c r="N94" s="339">
        <f t="shared" si="10"/>
        <v>0.6542104987700843</v>
      </c>
      <c r="O94" s="287">
        <v>10</v>
      </c>
      <c r="P94" s="284">
        <v>3</v>
      </c>
      <c r="Q94" s="287">
        <f t="shared" si="11"/>
        <v>0.39252629926205057</v>
      </c>
      <c r="R94" s="284">
        <f t="shared" si="12"/>
        <v>60</v>
      </c>
      <c r="S94" s="284">
        <v>0</v>
      </c>
      <c r="T94" s="284">
        <f t="shared" si="13"/>
        <v>0</v>
      </c>
      <c r="U94" s="287"/>
      <c r="V94" s="283"/>
      <c r="W94" s="287"/>
      <c r="X94" s="287"/>
      <c r="Y94" s="287"/>
      <c r="Z94" s="287"/>
      <c r="AA94" s="287"/>
      <c r="AB94" s="287"/>
      <c r="AC94" s="287"/>
      <c r="AD94" s="287"/>
      <c r="AE94" s="287"/>
      <c r="AF94" s="287"/>
      <c r="AG94" s="287"/>
      <c r="AH94" s="287"/>
      <c r="AI94" s="284"/>
      <c r="AJ94" s="284"/>
      <c r="AK94" s="360"/>
      <c r="AL94" s="305"/>
      <c r="AM94" s="305"/>
      <c r="AN94" s="305"/>
      <c r="AO94" s="305"/>
      <c r="AP94" s="305"/>
      <c r="AQ94" s="305"/>
      <c r="AR94" s="305"/>
      <c r="AS94" s="305"/>
      <c r="AT94" s="305"/>
      <c r="AU94" s="305"/>
    </row>
    <row r="95" spans="1:47" s="306" customFormat="1" ht="23.25">
      <c r="A95" s="304" t="s">
        <v>704</v>
      </c>
      <c r="B95" s="346" t="s">
        <v>705</v>
      </c>
      <c r="C95" s="283" t="s">
        <v>795</v>
      </c>
      <c r="D95" s="284"/>
      <c r="E95" s="284"/>
      <c r="F95" s="284"/>
      <c r="G95" s="284"/>
      <c r="H95" s="284"/>
      <c r="I95" s="284"/>
      <c r="J95" s="284">
        <v>1</v>
      </c>
      <c r="K95" s="287">
        <f t="shared" si="9"/>
        <v>4.9065787407756325</v>
      </c>
      <c r="L95" s="356">
        <v>75</v>
      </c>
      <c r="M95" s="284">
        <v>0</v>
      </c>
      <c r="N95" s="287">
        <f t="shared" si="10"/>
        <v>0</v>
      </c>
      <c r="O95" s="287">
        <v>0</v>
      </c>
      <c r="P95" s="284">
        <v>0.15</v>
      </c>
      <c r="Q95" s="287">
        <f t="shared" si="11"/>
        <v>0.7359868111163449</v>
      </c>
      <c r="R95" s="284">
        <f t="shared" si="12"/>
        <v>15</v>
      </c>
      <c r="S95" s="284">
        <v>0</v>
      </c>
      <c r="T95" s="284">
        <f t="shared" si="13"/>
        <v>0</v>
      </c>
      <c r="U95" s="287"/>
      <c r="V95" s="283"/>
      <c r="W95" s="287"/>
      <c r="X95" s="287"/>
      <c r="Y95" s="287"/>
      <c r="Z95" s="287"/>
      <c r="AA95" s="287"/>
      <c r="AB95" s="287"/>
      <c r="AC95" s="287"/>
      <c r="AD95" s="287"/>
      <c r="AE95" s="287"/>
      <c r="AF95" s="287"/>
      <c r="AG95" s="287"/>
      <c r="AH95" s="287"/>
      <c r="AI95" s="284"/>
      <c r="AJ95" s="284"/>
      <c r="AK95" s="360"/>
      <c r="AL95" s="305"/>
      <c r="AM95" s="305"/>
      <c r="AN95" s="305"/>
      <c r="AO95" s="305"/>
      <c r="AP95" s="305"/>
      <c r="AQ95" s="305"/>
      <c r="AR95" s="305"/>
      <c r="AS95" s="305"/>
      <c r="AT95" s="305"/>
      <c r="AU95" s="305"/>
    </row>
    <row r="96" spans="1:47" s="306" customFormat="1" ht="23.25">
      <c r="A96" s="304" t="s">
        <v>327</v>
      </c>
      <c r="B96" s="304" t="s">
        <v>706</v>
      </c>
      <c r="C96" s="341" t="s">
        <v>797</v>
      </c>
      <c r="D96" s="284"/>
      <c r="E96" s="284"/>
      <c r="F96" s="284"/>
      <c r="G96" s="284"/>
      <c r="H96" s="284"/>
      <c r="I96" s="284"/>
      <c r="J96" s="284">
        <v>1</v>
      </c>
      <c r="K96" s="287">
        <f t="shared" si="9"/>
        <v>6.5421049877008433E-2</v>
      </c>
      <c r="L96" s="351">
        <v>1</v>
      </c>
      <c r="M96" s="284">
        <v>0</v>
      </c>
      <c r="N96" s="339">
        <f t="shared" si="10"/>
        <v>0</v>
      </c>
      <c r="O96" s="287">
        <v>0</v>
      </c>
      <c r="P96" s="284">
        <v>0</v>
      </c>
      <c r="Q96" s="287">
        <f t="shared" si="11"/>
        <v>0</v>
      </c>
      <c r="R96" s="284">
        <f t="shared" si="12"/>
        <v>0</v>
      </c>
      <c r="S96" s="284">
        <v>0</v>
      </c>
      <c r="T96" s="284">
        <f t="shared" si="13"/>
        <v>0</v>
      </c>
      <c r="U96" s="287"/>
      <c r="V96" s="283"/>
      <c r="W96" s="287"/>
      <c r="X96" s="287"/>
      <c r="Y96" s="287"/>
      <c r="Z96" s="287"/>
      <c r="AA96" s="287"/>
      <c r="AB96" s="287"/>
      <c r="AC96" s="287"/>
      <c r="AD96" s="287"/>
      <c r="AE96" s="287"/>
      <c r="AF96" s="287"/>
      <c r="AG96" s="287"/>
      <c r="AH96" s="287"/>
      <c r="AI96" s="284"/>
      <c r="AJ96" s="284"/>
      <c r="AK96" s="360"/>
      <c r="AL96" s="305"/>
      <c r="AM96" s="305"/>
      <c r="AN96" s="305"/>
      <c r="AO96" s="305"/>
      <c r="AP96" s="305"/>
      <c r="AQ96" s="305"/>
      <c r="AR96" s="305"/>
      <c r="AS96" s="305"/>
      <c r="AT96" s="305"/>
      <c r="AU96" s="305"/>
    </row>
    <row r="97" spans="1:47" s="306" customFormat="1" ht="23.25">
      <c r="A97" s="304" t="s">
        <v>329</v>
      </c>
      <c r="B97" s="304" t="s">
        <v>707</v>
      </c>
      <c r="C97" s="341" t="s">
        <v>797</v>
      </c>
      <c r="D97" s="284"/>
      <c r="E97" s="284"/>
      <c r="F97" s="284"/>
      <c r="G97" s="284"/>
      <c r="H97" s="284"/>
      <c r="I97" s="284"/>
      <c r="J97" s="284">
        <v>0.5</v>
      </c>
      <c r="K97" s="287">
        <f t="shared" si="9"/>
        <v>3.2710524938504217E-2</v>
      </c>
      <c r="L97" s="351">
        <v>0.5</v>
      </c>
      <c r="M97" s="284">
        <v>0</v>
      </c>
      <c r="N97" s="339">
        <f t="shared" si="10"/>
        <v>0</v>
      </c>
      <c r="O97" s="287">
        <v>0</v>
      </c>
      <c r="P97" s="284">
        <v>0</v>
      </c>
      <c r="Q97" s="287">
        <f t="shared" si="11"/>
        <v>0</v>
      </c>
      <c r="R97" s="284">
        <f t="shared" si="12"/>
        <v>0</v>
      </c>
      <c r="S97" s="284">
        <v>0</v>
      </c>
      <c r="T97" s="284">
        <f t="shared" si="13"/>
        <v>0</v>
      </c>
      <c r="U97" s="287"/>
      <c r="V97" s="283"/>
      <c r="W97" s="287"/>
      <c r="X97" s="287"/>
      <c r="Y97" s="287"/>
      <c r="Z97" s="287"/>
      <c r="AA97" s="287"/>
      <c r="AB97" s="287"/>
      <c r="AC97" s="287"/>
      <c r="AD97" s="287"/>
      <c r="AE97" s="287"/>
      <c r="AF97" s="287"/>
      <c r="AG97" s="287"/>
      <c r="AH97" s="287"/>
      <c r="AI97" s="284"/>
      <c r="AJ97" s="284"/>
      <c r="AK97" s="360"/>
      <c r="AL97" s="305"/>
      <c r="AM97" s="305"/>
      <c r="AN97" s="305"/>
      <c r="AO97" s="305"/>
      <c r="AP97" s="305"/>
      <c r="AQ97" s="305"/>
      <c r="AR97" s="305"/>
      <c r="AS97" s="305"/>
      <c r="AT97" s="305"/>
      <c r="AU97" s="305"/>
    </row>
    <row r="98" spans="1:47" s="306" customFormat="1" ht="23.25">
      <c r="A98" s="304" t="s">
        <v>331</v>
      </c>
      <c r="B98" s="304" t="s">
        <v>708</v>
      </c>
      <c r="C98" s="341" t="s">
        <v>797</v>
      </c>
      <c r="D98" s="284"/>
      <c r="E98" s="284"/>
      <c r="F98" s="284"/>
      <c r="G98" s="284"/>
      <c r="H98" s="284"/>
      <c r="I98" s="284"/>
      <c r="J98" s="284">
        <v>0.5</v>
      </c>
      <c r="K98" s="287">
        <f t="shared" si="9"/>
        <v>3.2710524938504217E-2</v>
      </c>
      <c r="L98" s="351">
        <v>0.5</v>
      </c>
      <c r="M98" s="284">
        <v>0</v>
      </c>
      <c r="N98" s="339">
        <f t="shared" si="10"/>
        <v>0</v>
      </c>
      <c r="O98" s="287">
        <v>0</v>
      </c>
      <c r="P98" s="284">
        <v>0</v>
      </c>
      <c r="Q98" s="287">
        <f t="shared" si="11"/>
        <v>0</v>
      </c>
      <c r="R98" s="284">
        <f t="shared" si="12"/>
        <v>0</v>
      </c>
      <c r="S98" s="284">
        <v>0</v>
      </c>
      <c r="T98" s="284">
        <f t="shared" si="13"/>
        <v>0</v>
      </c>
      <c r="U98" s="287"/>
      <c r="V98" s="283"/>
      <c r="W98" s="287"/>
      <c r="X98" s="287"/>
      <c r="Y98" s="287"/>
      <c r="Z98" s="287"/>
      <c r="AA98" s="287"/>
      <c r="AB98" s="287"/>
      <c r="AC98" s="287"/>
      <c r="AD98" s="287"/>
      <c r="AE98" s="287"/>
      <c r="AF98" s="287"/>
      <c r="AG98" s="287"/>
      <c r="AH98" s="287"/>
      <c r="AI98" s="284"/>
      <c r="AJ98" s="284"/>
      <c r="AK98" s="360"/>
      <c r="AL98" s="305"/>
      <c r="AM98" s="305"/>
      <c r="AN98" s="305"/>
      <c r="AO98" s="305"/>
      <c r="AP98" s="305"/>
      <c r="AQ98" s="305"/>
      <c r="AR98" s="305"/>
      <c r="AS98" s="305"/>
      <c r="AT98" s="305"/>
      <c r="AU98" s="305"/>
    </row>
    <row r="99" spans="1:47" s="306" customFormat="1" ht="23.25">
      <c r="A99" s="304" t="s">
        <v>333</v>
      </c>
      <c r="B99" s="304" t="s">
        <v>709</v>
      </c>
      <c r="C99" s="341" t="s">
        <v>797</v>
      </c>
      <c r="D99" s="284"/>
      <c r="E99" s="284"/>
      <c r="F99" s="284"/>
      <c r="G99" s="284"/>
      <c r="H99" s="284"/>
      <c r="I99" s="284"/>
      <c r="J99" s="284">
        <v>0.5</v>
      </c>
      <c r="K99" s="287">
        <f t="shared" si="9"/>
        <v>3.2710524938504217E-2</v>
      </c>
      <c r="L99" s="351">
        <v>0.5</v>
      </c>
      <c r="M99" s="284">
        <v>0</v>
      </c>
      <c r="N99" s="339">
        <f t="shared" si="10"/>
        <v>0</v>
      </c>
      <c r="O99" s="287">
        <v>0</v>
      </c>
      <c r="P99" s="284">
        <v>0</v>
      </c>
      <c r="Q99" s="287">
        <f t="shared" si="11"/>
        <v>0</v>
      </c>
      <c r="R99" s="284">
        <f t="shared" si="12"/>
        <v>0</v>
      </c>
      <c r="S99" s="284">
        <v>0</v>
      </c>
      <c r="T99" s="284">
        <f t="shared" si="13"/>
        <v>0</v>
      </c>
      <c r="U99" s="287"/>
      <c r="V99" s="283"/>
      <c r="W99" s="287"/>
      <c r="X99" s="287"/>
      <c r="Y99" s="287"/>
      <c r="Z99" s="287"/>
      <c r="AA99" s="287"/>
      <c r="AB99" s="287"/>
      <c r="AC99" s="287"/>
      <c r="AD99" s="287"/>
      <c r="AE99" s="287"/>
      <c r="AF99" s="287"/>
      <c r="AG99" s="287"/>
      <c r="AH99" s="287"/>
      <c r="AI99" s="284"/>
      <c r="AJ99" s="284"/>
      <c r="AK99" s="360"/>
      <c r="AL99" s="305"/>
      <c r="AM99" s="305"/>
      <c r="AN99" s="305"/>
      <c r="AO99" s="305"/>
      <c r="AP99" s="305"/>
      <c r="AQ99" s="305"/>
      <c r="AR99" s="305"/>
      <c r="AS99" s="305"/>
      <c r="AT99" s="305"/>
      <c r="AU99" s="305"/>
    </row>
    <row r="100" spans="1:47" s="306" customFormat="1" ht="23.25">
      <c r="A100" s="304" t="s">
        <v>335</v>
      </c>
      <c r="B100" s="304" t="s">
        <v>710</v>
      </c>
      <c r="C100" s="341" t="s">
        <v>797</v>
      </c>
      <c r="D100" s="284"/>
      <c r="E100" s="284"/>
      <c r="F100" s="284"/>
      <c r="G100" s="284"/>
      <c r="H100" s="284"/>
      <c r="I100" s="284"/>
      <c r="J100" s="284">
        <v>0.5</v>
      </c>
      <c r="K100" s="287">
        <f t="shared" si="9"/>
        <v>3.2710524938504217E-2</v>
      </c>
      <c r="L100" s="351">
        <v>0.5</v>
      </c>
      <c r="M100" s="284">
        <v>0</v>
      </c>
      <c r="N100" s="339">
        <f t="shared" si="10"/>
        <v>0</v>
      </c>
      <c r="O100" s="287">
        <v>0</v>
      </c>
      <c r="P100" s="284">
        <v>0</v>
      </c>
      <c r="Q100" s="287">
        <f t="shared" si="11"/>
        <v>0</v>
      </c>
      <c r="R100" s="284">
        <f t="shared" si="12"/>
        <v>0</v>
      </c>
      <c r="S100" s="284">
        <v>0</v>
      </c>
      <c r="T100" s="284">
        <f t="shared" si="13"/>
        <v>0</v>
      </c>
      <c r="U100" s="287"/>
      <c r="V100" s="283"/>
      <c r="W100" s="287"/>
      <c r="X100" s="287"/>
      <c r="Y100" s="287"/>
      <c r="Z100" s="287"/>
      <c r="AA100" s="287"/>
      <c r="AB100" s="287"/>
      <c r="AC100" s="287"/>
      <c r="AD100" s="287"/>
      <c r="AE100" s="287"/>
      <c r="AF100" s="287"/>
      <c r="AG100" s="287"/>
      <c r="AH100" s="287"/>
      <c r="AI100" s="284"/>
      <c r="AJ100" s="284"/>
      <c r="AK100" s="360"/>
      <c r="AL100" s="305"/>
      <c r="AM100" s="305"/>
      <c r="AN100" s="305"/>
      <c r="AO100" s="305"/>
      <c r="AP100" s="305"/>
      <c r="AQ100" s="305"/>
      <c r="AR100" s="305"/>
      <c r="AS100" s="305"/>
      <c r="AT100" s="305"/>
      <c r="AU100" s="305"/>
    </row>
    <row r="101" spans="1:47" s="306" customFormat="1" ht="23.25">
      <c r="A101" s="304" t="s">
        <v>337</v>
      </c>
      <c r="B101" s="304" t="s">
        <v>711</v>
      </c>
      <c r="C101" s="341" t="s">
        <v>797</v>
      </c>
      <c r="D101" s="284"/>
      <c r="E101" s="284"/>
      <c r="F101" s="284"/>
      <c r="G101" s="284"/>
      <c r="H101" s="284"/>
      <c r="I101" s="284"/>
      <c r="J101" s="284">
        <v>0.5</v>
      </c>
      <c r="K101" s="287">
        <f t="shared" si="9"/>
        <v>3.2710524938504217E-2</v>
      </c>
      <c r="L101" s="351">
        <v>0.5</v>
      </c>
      <c r="M101" s="284">
        <v>0</v>
      </c>
      <c r="N101" s="339">
        <f t="shared" si="10"/>
        <v>0</v>
      </c>
      <c r="O101" s="287">
        <v>0</v>
      </c>
      <c r="P101" s="284">
        <v>0</v>
      </c>
      <c r="Q101" s="287">
        <f t="shared" si="11"/>
        <v>0</v>
      </c>
      <c r="R101" s="284">
        <f t="shared" si="12"/>
        <v>0</v>
      </c>
      <c r="S101" s="284">
        <v>0</v>
      </c>
      <c r="T101" s="284">
        <f t="shared" si="13"/>
        <v>0</v>
      </c>
      <c r="U101" s="287"/>
      <c r="V101" s="283"/>
      <c r="W101" s="287"/>
      <c r="X101" s="287"/>
      <c r="Y101" s="287"/>
      <c r="Z101" s="287"/>
      <c r="AA101" s="287"/>
      <c r="AB101" s="287"/>
      <c r="AC101" s="287"/>
      <c r="AD101" s="287"/>
      <c r="AE101" s="287"/>
      <c r="AF101" s="287"/>
      <c r="AG101" s="287"/>
      <c r="AH101" s="287"/>
      <c r="AI101" s="284"/>
      <c r="AJ101" s="284"/>
      <c r="AK101" s="360"/>
      <c r="AL101" s="305"/>
      <c r="AM101" s="305"/>
      <c r="AN101" s="305"/>
      <c r="AO101" s="305"/>
      <c r="AP101" s="305"/>
      <c r="AQ101" s="305"/>
      <c r="AR101" s="305"/>
      <c r="AS101" s="305"/>
      <c r="AT101" s="305"/>
      <c r="AU101" s="305"/>
    </row>
    <row r="102" spans="1:47" s="306" customFormat="1" ht="23.25">
      <c r="A102" s="304" t="s">
        <v>339</v>
      </c>
      <c r="B102" s="304" t="s">
        <v>712</v>
      </c>
      <c r="C102" s="341" t="s">
        <v>797</v>
      </c>
      <c r="D102" s="284"/>
      <c r="E102" s="284"/>
      <c r="F102" s="284"/>
      <c r="G102" s="284"/>
      <c r="H102" s="284"/>
      <c r="I102" s="284"/>
      <c r="J102" s="284">
        <v>0.5</v>
      </c>
      <c r="K102" s="287">
        <f t="shared" si="9"/>
        <v>0.25187104202648247</v>
      </c>
      <c r="L102" s="351">
        <v>3.85</v>
      </c>
      <c r="M102" s="284">
        <v>0</v>
      </c>
      <c r="N102" s="339">
        <f t="shared" si="10"/>
        <v>0</v>
      </c>
      <c r="O102" s="287">
        <v>0</v>
      </c>
      <c r="P102" s="284">
        <v>0</v>
      </c>
      <c r="Q102" s="287">
        <f t="shared" si="11"/>
        <v>0</v>
      </c>
      <c r="R102" s="284">
        <f t="shared" si="12"/>
        <v>0</v>
      </c>
      <c r="S102" s="284">
        <v>0</v>
      </c>
      <c r="T102" s="284">
        <f t="shared" si="13"/>
        <v>0</v>
      </c>
      <c r="U102" s="287"/>
      <c r="V102" s="283"/>
      <c r="W102" s="287"/>
      <c r="X102" s="287"/>
      <c r="Y102" s="287"/>
      <c r="Z102" s="287"/>
      <c r="AA102" s="287"/>
      <c r="AB102" s="287"/>
      <c r="AC102" s="287"/>
      <c r="AD102" s="287"/>
      <c r="AE102" s="287"/>
      <c r="AF102" s="287"/>
      <c r="AG102" s="287"/>
      <c r="AH102" s="287"/>
      <c r="AI102" s="284"/>
      <c r="AJ102" s="284"/>
      <c r="AK102" s="360"/>
      <c r="AL102" s="305"/>
      <c r="AM102" s="305"/>
      <c r="AN102" s="305"/>
      <c r="AO102" s="305"/>
      <c r="AP102" s="305"/>
      <c r="AQ102" s="305"/>
      <c r="AR102" s="305"/>
      <c r="AS102" s="305"/>
      <c r="AT102" s="305"/>
      <c r="AU102" s="305"/>
    </row>
    <row r="103" spans="1:47" s="306" customFormat="1" ht="23.25">
      <c r="A103" s="304" t="s">
        <v>715</v>
      </c>
      <c r="B103" s="304" t="s">
        <v>713</v>
      </c>
      <c r="C103" s="341" t="s">
        <v>797</v>
      </c>
      <c r="D103" s="284"/>
      <c r="E103" s="284"/>
      <c r="F103" s="284"/>
      <c r="G103" s="284"/>
      <c r="H103" s="284"/>
      <c r="I103" s="284"/>
      <c r="J103" s="284">
        <v>1</v>
      </c>
      <c r="K103" s="287">
        <f t="shared" si="9"/>
        <v>0.32710524938504215</v>
      </c>
      <c r="L103" s="351">
        <v>5</v>
      </c>
      <c r="M103" s="284">
        <v>0.2</v>
      </c>
      <c r="N103" s="339">
        <f t="shared" si="10"/>
        <v>6.5421049877008433E-2</v>
      </c>
      <c r="O103" s="287">
        <v>1</v>
      </c>
      <c r="P103" s="284">
        <v>0</v>
      </c>
      <c r="Q103" s="287">
        <f t="shared" si="11"/>
        <v>0</v>
      </c>
      <c r="R103" s="284">
        <f t="shared" si="12"/>
        <v>0</v>
      </c>
      <c r="S103" s="284">
        <v>0</v>
      </c>
      <c r="T103" s="284">
        <f t="shared" si="13"/>
        <v>0</v>
      </c>
      <c r="U103" s="287"/>
      <c r="V103" s="283"/>
      <c r="W103" s="287"/>
      <c r="X103" s="287"/>
      <c r="Y103" s="287"/>
      <c r="Z103" s="287"/>
      <c r="AA103" s="287"/>
      <c r="AB103" s="287"/>
      <c r="AC103" s="287"/>
      <c r="AD103" s="287"/>
      <c r="AE103" s="287"/>
      <c r="AF103" s="287"/>
      <c r="AG103" s="287"/>
      <c r="AH103" s="287"/>
      <c r="AI103" s="284"/>
      <c r="AJ103" s="284"/>
      <c r="AK103" s="360"/>
      <c r="AL103" s="305"/>
      <c r="AM103" s="305"/>
      <c r="AN103" s="305"/>
      <c r="AO103" s="305"/>
      <c r="AP103" s="305"/>
      <c r="AQ103" s="305"/>
      <c r="AR103" s="305"/>
      <c r="AS103" s="305"/>
      <c r="AT103" s="305"/>
      <c r="AU103" s="305"/>
    </row>
    <row r="104" spans="1:47" s="306" customFormat="1" ht="23.25">
      <c r="A104" s="304" t="s">
        <v>343</v>
      </c>
      <c r="B104" s="304" t="s">
        <v>714</v>
      </c>
      <c r="C104" s="341" t="s">
        <v>797</v>
      </c>
      <c r="D104" s="284"/>
      <c r="E104" s="284"/>
      <c r="F104" s="284"/>
      <c r="G104" s="284"/>
      <c r="H104" s="284"/>
      <c r="I104" s="284"/>
      <c r="J104" s="284">
        <v>1</v>
      </c>
      <c r="K104" s="287">
        <f t="shared" si="9"/>
        <v>6.5421049877008433E-2</v>
      </c>
      <c r="L104" s="351">
        <v>1</v>
      </c>
      <c r="M104" s="284">
        <v>0</v>
      </c>
      <c r="N104" s="339">
        <f t="shared" si="10"/>
        <v>0</v>
      </c>
      <c r="O104" s="287">
        <v>0</v>
      </c>
      <c r="P104" s="284">
        <v>0</v>
      </c>
      <c r="Q104" s="287">
        <f t="shared" si="11"/>
        <v>0</v>
      </c>
      <c r="R104" s="284">
        <f t="shared" si="12"/>
        <v>0</v>
      </c>
      <c r="S104" s="284">
        <v>0</v>
      </c>
      <c r="T104" s="284">
        <f t="shared" si="13"/>
        <v>0</v>
      </c>
      <c r="U104" s="287"/>
      <c r="V104" s="283"/>
      <c r="W104" s="287"/>
      <c r="X104" s="287"/>
      <c r="Y104" s="287"/>
      <c r="Z104" s="287"/>
      <c r="AA104" s="287"/>
      <c r="AB104" s="287"/>
      <c r="AC104" s="287"/>
      <c r="AD104" s="287"/>
      <c r="AE104" s="287"/>
      <c r="AF104" s="287"/>
      <c r="AG104" s="287"/>
      <c r="AH104" s="287"/>
      <c r="AI104" s="284"/>
      <c r="AJ104" s="284"/>
      <c r="AK104" s="360"/>
      <c r="AL104" s="305"/>
      <c r="AM104" s="305"/>
      <c r="AN104" s="305"/>
      <c r="AO104" s="305"/>
      <c r="AP104" s="305"/>
      <c r="AQ104" s="305"/>
      <c r="AR104" s="305"/>
      <c r="AS104" s="305"/>
      <c r="AT104" s="305"/>
      <c r="AU104" s="305"/>
    </row>
    <row r="105" spans="1:47" s="306" customFormat="1" ht="23.25">
      <c r="A105" s="304" t="s">
        <v>716</v>
      </c>
      <c r="B105" s="304" t="s">
        <v>717</v>
      </c>
      <c r="C105" s="341" t="s">
        <v>797</v>
      </c>
      <c r="D105" s="284"/>
      <c r="E105" s="284"/>
      <c r="F105" s="284"/>
      <c r="G105" s="284"/>
      <c r="H105" s="284"/>
      <c r="I105" s="284"/>
      <c r="J105" s="284">
        <v>1</v>
      </c>
      <c r="K105" s="287">
        <f t="shared" si="9"/>
        <v>0.32710524938504215</v>
      </c>
      <c r="L105" s="351">
        <v>5</v>
      </c>
      <c r="M105" s="284">
        <v>0.2</v>
      </c>
      <c r="N105" s="339">
        <f t="shared" si="10"/>
        <v>6.5421049877008433E-2</v>
      </c>
      <c r="O105" s="287">
        <v>1</v>
      </c>
      <c r="P105" s="284">
        <v>0</v>
      </c>
      <c r="Q105" s="287">
        <f t="shared" si="11"/>
        <v>0</v>
      </c>
      <c r="R105" s="284">
        <f t="shared" si="12"/>
        <v>0</v>
      </c>
      <c r="S105" s="284">
        <v>0</v>
      </c>
      <c r="T105" s="284">
        <f t="shared" si="13"/>
        <v>0</v>
      </c>
      <c r="U105" s="287"/>
      <c r="V105" s="283"/>
      <c r="W105" s="287"/>
      <c r="X105" s="287"/>
      <c r="Y105" s="287"/>
      <c r="Z105" s="287"/>
      <c r="AA105" s="287"/>
      <c r="AB105" s="287"/>
      <c r="AC105" s="287"/>
      <c r="AD105" s="287"/>
      <c r="AE105" s="287"/>
      <c r="AF105" s="287"/>
      <c r="AG105" s="287"/>
      <c r="AH105" s="287"/>
      <c r="AI105" s="284"/>
      <c r="AJ105" s="284"/>
      <c r="AK105" s="360"/>
      <c r="AL105" s="305"/>
      <c r="AM105" s="305"/>
      <c r="AN105" s="305"/>
      <c r="AO105" s="305"/>
      <c r="AP105" s="305"/>
      <c r="AQ105" s="305"/>
      <c r="AR105" s="305"/>
      <c r="AS105" s="305"/>
      <c r="AT105" s="305"/>
      <c r="AU105" s="305"/>
    </row>
    <row r="106" spans="1:47" s="306" customFormat="1" ht="39">
      <c r="A106" s="304" t="s">
        <v>718</v>
      </c>
      <c r="B106" s="304" t="s">
        <v>719</v>
      </c>
      <c r="C106" s="341" t="s">
        <v>797</v>
      </c>
      <c r="D106" s="284"/>
      <c r="E106" s="284"/>
      <c r="F106" s="284"/>
      <c r="G106" s="284"/>
      <c r="H106" s="284"/>
      <c r="I106" s="284"/>
      <c r="J106" s="284">
        <v>1</v>
      </c>
      <c r="K106" s="287">
        <f t="shared" si="9"/>
        <v>0.32710524938504215</v>
      </c>
      <c r="L106" s="351">
        <v>5</v>
      </c>
      <c r="M106" s="284">
        <v>0.2</v>
      </c>
      <c r="N106" s="339">
        <f t="shared" si="10"/>
        <v>6.5421049877008433E-2</v>
      </c>
      <c r="O106" s="287">
        <v>1</v>
      </c>
      <c r="P106" s="284">
        <v>0</v>
      </c>
      <c r="Q106" s="287">
        <f t="shared" si="11"/>
        <v>0</v>
      </c>
      <c r="R106" s="284">
        <f t="shared" si="12"/>
        <v>0</v>
      </c>
      <c r="S106" s="284">
        <v>0</v>
      </c>
      <c r="T106" s="284">
        <f t="shared" si="13"/>
        <v>0</v>
      </c>
      <c r="U106" s="287"/>
      <c r="V106" s="283"/>
      <c r="W106" s="287"/>
      <c r="X106" s="287"/>
      <c r="Y106" s="287"/>
      <c r="Z106" s="287"/>
      <c r="AA106" s="287"/>
      <c r="AB106" s="287"/>
      <c r="AC106" s="287"/>
      <c r="AD106" s="287"/>
      <c r="AE106" s="287"/>
      <c r="AF106" s="287"/>
      <c r="AG106" s="287"/>
      <c r="AH106" s="287"/>
      <c r="AI106" s="284"/>
      <c r="AJ106" s="284"/>
      <c r="AK106" s="360"/>
      <c r="AL106" s="305"/>
      <c r="AM106" s="305"/>
      <c r="AN106" s="305"/>
      <c r="AO106" s="305"/>
      <c r="AP106" s="305"/>
      <c r="AQ106" s="305"/>
      <c r="AR106" s="305"/>
      <c r="AS106" s="305"/>
      <c r="AT106" s="305"/>
      <c r="AU106" s="305"/>
    </row>
    <row r="107" spans="1:47" s="306" customFormat="1" ht="23.25">
      <c r="A107" s="304" t="s">
        <v>345</v>
      </c>
      <c r="B107" s="304" t="s">
        <v>720</v>
      </c>
      <c r="C107" s="341" t="s">
        <v>797</v>
      </c>
      <c r="D107" s="284"/>
      <c r="E107" s="284"/>
      <c r="F107" s="284"/>
      <c r="G107" s="284"/>
      <c r="H107" s="284"/>
      <c r="I107" s="284"/>
      <c r="J107" s="284">
        <v>0.1</v>
      </c>
      <c r="K107" s="287">
        <f t="shared" si="9"/>
        <v>6.542104987700843E-3</v>
      </c>
      <c r="L107" s="351">
        <v>0.1</v>
      </c>
      <c r="M107" s="284">
        <v>0</v>
      </c>
      <c r="N107" s="339">
        <f t="shared" si="10"/>
        <v>0</v>
      </c>
      <c r="O107" s="287">
        <v>0</v>
      </c>
      <c r="P107" s="284">
        <v>0</v>
      </c>
      <c r="Q107" s="287">
        <f t="shared" si="11"/>
        <v>0</v>
      </c>
      <c r="R107" s="284">
        <f t="shared" si="12"/>
        <v>0</v>
      </c>
      <c r="S107" s="284">
        <v>0</v>
      </c>
      <c r="T107" s="284">
        <f t="shared" si="13"/>
        <v>0</v>
      </c>
      <c r="U107" s="287"/>
      <c r="V107" s="283"/>
      <c r="W107" s="287"/>
      <c r="X107" s="287"/>
      <c r="Y107" s="287"/>
      <c r="Z107" s="287"/>
      <c r="AA107" s="287"/>
      <c r="AB107" s="287"/>
      <c r="AC107" s="287"/>
      <c r="AD107" s="287"/>
      <c r="AE107" s="287"/>
      <c r="AF107" s="287"/>
      <c r="AG107" s="287"/>
      <c r="AH107" s="287"/>
      <c r="AI107" s="284"/>
      <c r="AJ107" s="284"/>
      <c r="AK107" s="360"/>
      <c r="AL107" s="305"/>
      <c r="AM107" s="305"/>
      <c r="AN107" s="305"/>
      <c r="AO107" s="305"/>
      <c r="AP107" s="305"/>
      <c r="AQ107" s="305"/>
      <c r="AR107" s="305"/>
      <c r="AS107" s="305"/>
      <c r="AT107" s="305"/>
      <c r="AU107" s="305"/>
    </row>
    <row r="108" spans="1:47" s="306" customFormat="1" ht="23.25">
      <c r="A108" s="304" t="s">
        <v>347</v>
      </c>
      <c r="B108" s="304" t="s">
        <v>721</v>
      </c>
      <c r="C108" s="341" t="s">
        <v>797</v>
      </c>
      <c r="D108" s="284"/>
      <c r="E108" s="284"/>
      <c r="F108" s="284"/>
      <c r="G108" s="284"/>
      <c r="H108" s="284"/>
      <c r="I108" s="284"/>
      <c r="J108" s="284">
        <v>1</v>
      </c>
      <c r="K108" s="287">
        <f t="shared" si="9"/>
        <v>6.5421049877008433E-2</v>
      </c>
      <c r="L108" s="351">
        <v>1</v>
      </c>
      <c r="M108" s="284">
        <v>0</v>
      </c>
      <c r="N108" s="339">
        <f t="shared" si="10"/>
        <v>0</v>
      </c>
      <c r="O108" s="287">
        <v>0</v>
      </c>
      <c r="P108" s="284">
        <v>0</v>
      </c>
      <c r="Q108" s="287">
        <f t="shared" si="11"/>
        <v>0</v>
      </c>
      <c r="R108" s="284">
        <f t="shared" si="12"/>
        <v>0</v>
      </c>
      <c r="S108" s="284">
        <v>0</v>
      </c>
      <c r="T108" s="284">
        <f t="shared" si="13"/>
        <v>0</v>
      </c>
      <c r="U108" s="287"/>
      <c r="V108" s="283"/>
      <c r="W108" s="287"/>
      <c r="X108" s="287"/>
      <c r="Y108" s="287"/>
      <c r="Z108" s="287"/>
      <c r="AA108" s="287"/>
      <c r="AB108" s="287"/>
      <c r="AC108" s="287"/>
      <c r="AD108" s="287"/>
      <c r="AE108" s="287"/>
      <c r="AF108" s="287"/>
      <c r="AG108" s="287"/>
      <c r="AH108" s="287"/>
      <c r="AI108" s="284"/>
      <c r="AJ108" s="284"/>
      <c r="AK108" s="360"/>
      <c r="AL108" s="305"/>
      <c r="AM108" s="305"/>
      <c r="AN108" s="305"/>
      <c r="AO108" s="305"/>
      <c r="AP108" s="305"/>
      <c r="AQ108" s="305"/>
      <c r="AR108" s="305"/>
      <c r="AS108" s="305"/>
      <c r="AT108" s="305"/>
      <c r="AU108" s="305"/>
    </row>
    <row r="109" spans="1:47" s="306" customFormat="1" ht="23.25">
      <c r="A109" s="304" t="s">
        <v>349</v>
      </c>
      <c r="B109" s="304" t="s">
        <v>722</v>
      </c>
      <c r="C109" s="341" t="s">
        <v>797</v>
      </c>
      <c r="D109" s="284"/>
      <c r="E109" s="284"/>
      <c r="F109" s="284"/>
      <c r="G109" s="284"/>
      <c r="H109" s="284"/>
      <c r="I109" s="284"/>
      <c r="J109" s="284">
        <v>1</v>
      </c>
      <c r="K109" s="287">
        <f t="shared" si="9"/>
        <v>6.5421049877008433E-2</v>
      </c>
      <c r="L109" s="351">
        <v>1</v>
      </c>
      <c r="M109" s="284">
        <v>0</v>
      </c>
      <c r="N109" s="339">
        <f t="shared" si="10"/>
        <v>0</v>
      </c>
      <c r="O109" s="287">
        <v>0</v>
      </c>
      <c r="P109" s="284">
        <v>0</v>
      </c>
      <c r="Q109" s="287">
        <f t="shared" si="11"/>
        <v>0</v>
      </c>
      <c r="R109" s="284">
        <f t="shared" si="12"/>
        <v>0</v>
      </c>
      <c r="S109" s="284">
        <v>0</v>
      </c>
      <c r="T109" s="284">
        <f t="shared" si="13"/>
        <v>0</v>
      </c>
      <c r="U109" s="287"/>
      <c r="V109" s="283"/>
      <c r="W109" s="287"/>
      <c r="X109" s="287"/>
      <c r="Y109" s="287"/>
      <c r="Z109" s="287"/>
      <c r="AA109" s="287"/>
      <c r="AB109" s="287"/>
      <c r="AC109" s="287"/>
      <c r="AD109" s="287"/>
      <c r="AE109" s="287"/>
      <c r="AF109" s="287"/>
      <c r="AG109" s="287"/>
      <c r="AH109" s="287"/>
      <c r="AI109" s="284"/>
      <c r="AJ109" s="284"/>
      <c r="AK109" s="360"/>
      <c r="AL109" s="305"/>
      <c r="AM109" s="305"/>
      <c r="AN109" s="305"/>
      <c r="AO109" s="305"/>
      <c r="AP109" s="305"/>
      <c r="AQ109" s="305"/>
      <c r="AR109" s="305"/>
      <c r="AS109" s="305"/>
      <c r="AT109" s="305"/>
      <c r="AU109" s="305"/>
    </row>
    <row r="110" spans="1:47" s="306" customFormat="1" ht="23.25">
      <c r="A110" s="304" t="s">
        <v>351</v>
      </c>
      <c r="B110" s="304" t="s">
        <v>723</v>
      </c>
      <c r="C110" s="341" t="s">
        <v>797</v>
      </c>
      <c r="D110" s="284"/>
      <c r="E110" s="284"/>
      <c r="F110" s="284"/>
      <c r="G110" s="284"/>
      <c r="H110" s="284"/>
      <c r="I110" s="284"/>
      <c r="J110" s="284">
        <v>5.55</v>
      </c>
      <c r="K110" s="287">
        <f t="shared" si="9"/>
        <v>0.36308682681739674</v>
      </c>
      <c r="L110" s="351">
        <v>5.55</v>
      </c>
      <c r="M110" s="284">
        <v>0</v>
      </c>
      <c r="N110" s="339">
        <f t="shared" si="10"/>
        <v>0</v>
      </c>
      <c r="O110" s="287">
        <v>0</v>
      </c>
      <c r="P110" s="284">
        <v>0</v>
      </c>
      <c r="Q110" s="287">
        <f t="shared" si="11"/>
        <v>0</v>
      </c>
      <c r="R110" s="284">
        <f t="shared" si="12"/>
        <v>0</v>
      </c>
      <c r="S110" s="284">
        <v>0</v>
      </c>
      <c r="T110" s="284">
        <f t="shared" si="13"/>
        <v>0</v>
      </c>
      <c r="U110" s="287"/>
      <c r="V110" s="283"/>
      <c r="W110" s="287"/>
      <c r="X110" s="287"/>
      <c r="Y110" s="287"/>
      <c r="Z110" s="287"/>
      <c r="AA110" s="287"/>
      <c r="AB110" s="287"/>
      <c r="AC110" s="287"/>
      <c r="AD110" s="287"/>
      <c r="AE110" s="287"/>
      <c r="AF110" s="287"/>
      <c r="AG110" s="287"/>
      <c r="AH110" s="287"/>
      <c r="AI110" s="284"/>
      <c r="AJ110" s="284"/>
      <c r="AK110" s="360"/>
      <c r="AL110" s="305"/>
      <c r="AM110" s="305"/>
      <c r="AN110" s="305"/>
      <c r="AO110" s="305"/>
      <c r="AP110" s="305"/>
      <c r="AQ110" s="305"/>
      <c r="AR110" s="305"/>
      <c r="AS110" s="305"/>
      <c r="AT110" s="305"/>
      <c r="AU110" s="305"/>
    </row>
    <row r="111" spans="1:47" s="306" customFormat="1" ht="23.25">
      <c r="A111" s="304" t="s">
        <v>353</v>
      </c>
      <c r="B111" s="304" t="s">
        <v>724</v>
      </c>
      <c r="C111" s="341" t="s">
        <v>797</v>
      </c>
      <c r="D111" s="284"/>
      <c r="E111" s="284"/>
      <c r="F111" s="284"/>
      <c r="G111" s="284"/>
      <c r="H111" s="284"/>
      <c r="I111" s="284"/>
      <c r="J111" s="284">
        <v>1</v>
      </c>
      <c r="K111" s="287">
        <f t="shared" si="9"/>
        <v>6.5421049877008433E-2</v>
      </c>
      <c r="L111" s="351">
        <v>1</v>
      </c>
      <c r="M111" s="284">
        <v>0</v>
      </c>
      <c r="N111" s="339">
        <f t="shared" si="10"/>
        <v>0</v>
      </c>
      <c r="O111" s="287">
        <v>0</v>
      </c>
      <c r="P111" s="284">
        <v>0</v>
      </c>
      <c r="Q111" s="287">
        <f t="shared" si="11"/>
        <v>0</v>
      </c>
      <c r="R111" s="284">
        <f t="shared" si="12"/>
        <v>0</v>
      </c>
      <c r="S111" s="284">
        <v>0</v>
      </c>
      <c r="T111" s="284">
        <f t="shared" si="13"/>
        <v>0</v>
      </c>
      <c r="U111" s="287"/>
      <c r="V111" s="283"/>
      <c r="W111" s="287"/>
      <c r="X111" s="287"/>
      <c r="Y111" s="287"/>
      <c r="Z111" s="287"/>
      <c r="AA111" s="287"/>
      <c r="AB111" s="287"/>
      <c r="AC111" s="287"/>
      <c r="AD111" s="287"/>
      <c r="AE111" s="287"/>
      <c r="AF111" s="287"/>
      <c r="AG111" s="287"/>
      <c r="AH111" s="287"/>
      <c r="AI111" s="284"/>
      <c r="AJ111" s="284"/>
      <c r="AK111" s="360"/>
      <c r="AL111" s="305"/>
      <c r="AM111" s="305"/>
      <c r="AN111" s="305"/>
      <c r="AO111" s="305"/>
      <c r="AP111" s="305"/>
      <c r="AQ111" s="305"/>
      <c r="AR111" s="305"/>
      <c r="AS111" s="305"/>
      <c r="AT111" s="305"/>
      <c r="AU111" s="305"/>
    </row>
    <row r="112" spans="1:47" s="306" customFormat="1" ht="23.25">
      <c r="A112" s="304" t="s">
        <v>355</v>
      </c>
      <c r="B112" s="304" t="s">
        <v>725</v>
      </c>
      <c r="C112" s="341" t="s">
        <v>797</v>
      </c>
      <c r="D112" s="284"/>
      <c r="E112" s="284"/>
      <c r="F112" s="284"/>
      <c r="G112" s="284"/>
      <c r="H112" s="284"/>
      <c r="I112" s="284"/>
      <c r="J112" s="284">
        <v>1</v>
      </c>
      <c r="K112" s="287">
        <f t="shared" si="9"/>
        <v>6.5421049877008433E-2</v>
      </c>
      <c r="L112" s="351">
        <v>1</v>
      </c>
      <c r="M112" s="284">
        <v>0</v>
      </c>
      <c r="N112" s="339">
        <f t="shared" si="10"/>
        <v>0</v>
      </c>
      <c r="O112" s="287">
        <v>0</v>
      </c>
      <c r="P112" s="284">
        <v>0</v>
      </c>
      <c r="Q112" s="287">
        <f t="shared" si="11"/>
        <v>0</v>
      </c>
      <c r="R112" s="284">
        <f t="shared" si="12"/>
        <v>0</v>
      </c>
      <c r="S112" s="284">
        <v>0</v>
      </c>
      <c r="T112" s="284">
        <f t="shared" si="13"/>
        <v>0</v>
      </c>
      <c r="U112" s="287"/>
      <c r="V112" s="283"/>
      <c r="W112" s="287"/>
      <c r="X112" s="287"/>
      <c r="Y112" s="287"/>
      <c r="Z112" s="287"/>
      <c r="AA112" s="287"/>
      <c r="AB112" s="287"/>
      <c r="AC112" s="287"/>
      <c r="AD112" s="287"/>
      <c r="AE112" s="287"/>
      <c r="AF112" s="287"/>
      <c r="AG112" s="287"/>
      <c r="AH112" s="287"/>
      <c r="AI112" s="284"/>
      <c r="AJ112" s="284"/>
      <c r="AK112" s="360"/>
      <c r="AL112" s="305"/>
      <c r="AM112" s="305"/>
      <c r="AN112" s="305"/>
      <c r="AO112" s="305"/>
      <c r="AP112" s="305"/>
      <c r="AQ112" s="305"/>
      <c r="AR112" s="305"/>
      <c r="AS112" s="305"/>
      <c r="AT112" s="305"/>
      <c r="AU112" s="305"/>
    </row>
    <row r="113" spans="1:47" s="306" customFormat="1" ht="23.25">
      <c r="A113" s="304" t="s">
        <v>357</v>
      </c>
      <c r="B113" s="304" t="s">
        <v>726</v>
      </c>
      <c r="C113" s="341" t="s">
        <v>797</v>
      </c>
      <c r="D113" s="284"/>
      <c r="E113" s="284"/>
      <c r="F113" s="284"/>
      <c r="G113" s="284"/>
      <c r="H113" s="284"/>
      <c r="I113" s="284"/>
      <c r="J113" s="284">
        <v>1</v>
      </c>
      <c r="K113" s="287">
        <f t="shared" si="9"/>
        <v>6.5421049877008433E-2</v>
      </c>
      <c r="L113" s="351">
        <v>1</v>
      </c>
      <c r="M113" s="284">
        <v>0</v>
      </c>
      <c r="N113" s="339">
        <f t="shared" si="10"/>
        <v>0</v>
      </c>
      <c r="O113" s="287">
        <v>0</v>
      </c>
      <c r="P113" s="284">
        <v>0</v>
      </c>
      <c r="Q113" s="287">
        <f t="shared" si="11"/>
        <v>0</v>
      </c>
      <c r="R113" s="284">
        <f t="shared" si="12"/>
        <v>0</v>
      </c>
      <c r="S113" s="284">
        <v>0</v>
      </c>
      <c r="T113" s="284">
        <f t="shared" si="13"/>
        <v>0</v>
      </c>
      <c r="U113" s="287"/>
      <c r="V113" s="283"/>
      <c r="W113" s="287"/>
      <c r="X113" s="287"/>
      <c r="Y113" s="287"/>
      <c r="Z113" s="287"/>
      <c r="AA113" s="287"/>
      <c r="AB113" s="287"/>
      <c r="AC113" s="287"/>
      <c r="AD113" s="287"/>
      <c r="AE113" s="287"/>
      <c r="AF113" s="287"/>
      <c r="AG113" s="287"/>
      <c r="AH113" s="287"/>
      <c r="AI113" s="284"/>
      <c r="AJ113" s="284"/>
      <c r="AK113" s="360"/>
      <c r="AL113" s="305"/>
      <c r="AM113" s="305"/>
      <c r="AN113" s="305"/>
      <c r="AO113" s="305"/>
      <c r="AP113" s="305"/>
      <c r="AQ113" s="305"/>
      <c r="AR113" s="305"/>
      <c r="AS113" s="305"/>
      <c r="AT113" s="305"/>
      <c r="AU113" s="305"/>
    </row>
    <row r="114" spans="1:47" s="306" customFormat="1" ht="23.25">
      <c r="A114" s="304" t="s">
        <v>359</v>
      </c>
      <c r="B114" s="304" t="s">
        <v>727</v>
      </c>
      <c r="C114" s="341" t="s">
        <v>797</v>
      </c>
      <c r="D114" s="284"/>
      <c r="E114" s="284"/>
      <c r="F114" s="284"/>
      <c r="G114" s="284"/>
      <c r="H114" s="284"/>
      <c r="I114" s="284"/>
      <c r="J114" s="284">
        <v>5</v>
      </c>
      <c r="K114" s="287">
        <f t="shared" si="9"/>
        <v>0.32710524938504215</v>
      </c>
      <c r="L114" s="351">
        <v>5</v>
      </c>
      <c r="M114" s="284">
        <v>0</v>
      </c>
      <c r="N114" s="339">
        <f t="shared" si="10"/>
        <v>0</v>
      </c>
      <c r="O114" s="287">
        <v>0</v>
      </c>
      <c r="P114" s="284">
        <v>0</v>
      </c>
      <c r="Q114" s="287">
        <f t="shared" si="11"/>
        <v>0</v>
      </c>
      <c r="R114" s="284">
        <f t="shared" si="12"/>
        <v>0</v>
      </c>
      <c r="S114" s="284">
        <v>0</v>
      </c>
      <c r="T114" s="284">
        <f t="shared" si="13"/>
        <v>0</v>
      </c>
      <c r="U114" s="287"/>
      <c r="V114" s="283"/>
      <c r="W114" s="287"/>
      <c r="X114" s="287"/>
      <c r="Y114" s="287"/>
      <c r="Z114" s="287"/>
      <c r="AA114" s="287"/>
      <c r="AB114" s="287"/>
      <c r="AC114" s="287"/>
      <c r="AD114" s="287"/>
      <c r="AE114" s="287"/>
      <c r="AF114" s="287"/>
      <c r="AG114" s="287"/>
      <c r="AH114" s="287"/>
      <c r="AI114" s="284"/>
      <c r="AJ114" s="284"/>
      <c r="AK114" s="360"/>
      <c r="AL114" s="305"/>
      <c r="AM114" s="305"/>
      <c r="AN114" s="305"/>
      <c r="AO114" s="305"/>
      <c r="AP114" s="305"/>
      <c r="AQ114" s="305"/>
      <c r="AR114" s="305"/>
      <c r="AS114" s="305"/>
      <c r="AT114" s="305"/>
      <c r="AU114" s="305"/>
    </row>
    <row r="115" spans="1:47" s="306" customFormat="1" ht="23.25">
      <c r="A115" s="304" t="s">
        <v>361</v>
      </c>
      <c r="B115" s="304" t="s">
        <v>728</v>
      </c>
      <c r="C115" s="341" t="s">
        <v>797</v>
      </c>
      <c r="D115" s="284"/>
      <c r="E115" s="284"/>
      <c r="F115" s="284"/>
      <c r="G115" s="284"/>
      <c r="H115" s="284"/>
      <c r="I115" s="284"/>
      <c r="J115" s="284">
        <v>0.5</v>
      </c>
      <c r="K115" s="287">
        <f t="shared" si="9"/>
        <v>0.22897367456952952</v>
      </c>
      <c r="L115" s="351">
        <v>3.5</v>
      </c>
      <c r="M115" s="284">
        <v>0</v>
      </c>
      <c r="N115" s="339">
        <f t="shared" si="10"/>
        <v>0</v>
      </c>
      <c r="O115" s="287">
        <v>0</v>
      </c>
      <c r="P115" s="284">
        <v>0</v>
      </c>
      <c r="Q115" s="287">
        <f t="shared" si="11"/>
        <v>0</v>
      </c>
      <c r="R115" s="284">
        <f t="shared" si="12"/>
        <v>0</v>
      </c>
      <c r="S115" s="284">
        <v>0</v>
      </c>
      <c r="T115" s="284">
        <f t="shared" si="13"/>
        <v>0</v>
      </c>
      <c r="U115" s="287"/>
      <c r="V115" s="283"/>
      <c r="W115" s="287"/>
      <c r="X115" s="287"/>
      <c r="Y115" s="287"/>
      <c r="Z115" s="287"/>
      <c r="AA115" s="287"/>
      <c r="AB115" s="287"/>
      <c r="AC115" s="287"/>
      <c r="AD115" s="287"/>
      <c r="AE115" s="287"/>
      <c r="AF115" s="287"/>
      <c r="AG115" s="287"/>
      <c r="AH115" s="287"/>
      <c r="AI115" s="284"/>
      <c r="AJ115" s="284"/>
      <c r="AK115" s="360"/>
      <c r="AL115" s="305"/>
      <c r="AM115" s="305"/>
      <c r="AN115" s="305"/>
      <c r="AO115" s="305"/>
      <c r="AP115" s="305"/>
      <c r="AQ115" s="305"/>
      <c r="AR115" s="305"/>
      <c r="AS115" s="305"/>
      <c r="AT115" s="305"/>
      <c r="AU115" s="305"/>
    </row>
    <row r="116" spans="1:47" s="306" customFormat="1" ht="23.25">
      <c r="A116" s="304" t="s">
        <v>363</v>
      </c>
      <c r="B116" s="304" t="s">
        <v>729</v>
      </c>
      <c r="C116" s="341" t="s">
        <v>797</v>
      </c>
      <c r="D116" s="284"/>
      <c r="E116" s="284"/>
      <c r="F116" s="284"/>
      <c r="G116" s="284"/>
      <c r="H116" s="284"/>
      <c r="I116" s="284"/>
      <c r="J116" s="284">
        <v>5</v>
      </c>
      <c r="K116" s="287">
        <f t="shared" si="9"/>
        <v>0.32710524938504215</v>
      </c>
      <c r="L116" s="351">
        <v>5</v>
      </c>
      <c r="M116" s="284">
        <v>0</v>
      </c>
      <c r="N116" s="339">
        <f t="shared" si="10"/>
        <v>0</v>
      </c>
      <c r="O116" s="287">
        <v>0</v>
      </c>
      <c r="P116" s="284">
        <v>0.15</v>
      </c>
      <c r="Q116" s="287">
        <f t="shared" si="11"/>
        <v>9.8131574815512636E-3</v>
      </c>
      <c r="R116" s="284">
        <f t="shared" si="12"/>
        <v>3</v>
      </c>
      <c r="S116" s="284">
        <v>0</v>
      </c>
      <c r="T116" s="284">
        <f t="shared" si="13"/>
        <v>0</v>
      </c>
      <c r="U116" s="287"/>
      <c r="V116" s="283"/>
      <c r="W116" s="287"/>
      <c r="X116" s="287"/>
      <c r="Y116" s="287"/>
      <c r="Z116" s="287"/>
      <c r="AA116" s="287"/>
      <c r="AB116" s="287"/>
      <c r="AC116" s="287"/>
      <c r="AD116" s="287"/>
      <c r="AE116" s="287"/>
      <c r="AF116" s="287"/>
      <c r="AG116" s="287"/>
      <c r="AH116" s="287"/>
      <c r="AI116" s="284"/>
      <c r="AJ116" s="284"/>
      <c r="AK116" s="360"/>
      <c r="AL116" s="305"/>
      <c r="AM116" s="305"/>
      <c r="AN116" s="305"/>
      <c r="AO116" s="305"/>
      <c r="AP116" s="305"/>
      <c r="AQ116" s="305"/>
      <c r="AR116" s="305"/>
      <c r="AS116" s="305"/>
      <c r="AT116" s="305"/>
      <c r="AU116" s="305"/>
    </row>
    <row r="117" spans="1:47" s="306" customFormat="1" ht="23.25">
      <c r="A117" s="304" t="s">
        <v>365</v>
      </c>
      <c r="B117" s="304" t="s">
        <v>730</v>
      </c>
      <c r="C117" s="341" t="s">
        <v>797</v>
      </c>
      <c r="D117" s="284"/>
      <c r="E117" s="284"/>
      <c r="F117" s="284"/>
      <c r="G117" s="284"/>
      <c r="H117" s="284"/>
      <c r="I117" s="284"/>
      <c r="J117" s="284">
        <v>1</v>
      </c>
      <c r="K117" s="287">
        <f t="shared" si="9"/>
        <v>6.5421049877008433E-2</v>
      </c>
      <c r="L117" s="351">
        <v>1</v>
      </c>
      <c r="M117" s="284">
        <v>0</v>
      </c>
      <c r="N117" s="339">
        <f t="shared" si="10"/>
        <v>0</v>
      </c>
      <c r="O117" s="287">
        <v>0</v>
      </c>
      <c r="P117" s="284">
        <v>0</v>
      </c>
      <c r="Q117" s="287">
        <f t="shared" si="11"/>
        <v>0</v>
      </c>
      <c r="R117" s="284">
        <f t="shared" si="12"/>
        <v>0</v>
      </c>
      <c r="S117" s="284">
        <v>0</v>
      </c>
      <c r="T117" s="284">
        <f t="shared" si="13"/>
        <v>0</v>
      </c>
      <c r="U117" s="287"/>
      <c r="V117" s="283"/>
      <c r="W117" s="287"/>
      <c r="X117" s="287"/>
      <c r="Y117" s="287"/>
      <c r="Z117" s="287"/>
      <c r="AA117" s="287"/>
      <c r="AB117" s="287"/>
      <c r="AC117" s="287"/>
      <c r="AD117" s="287"/>
      <c r="AE117" s="287"/>
      <c r="AF117" s="287"/>
      <c r="AG117" s="287"/>
      <c r="AH117" s="287"/>
      <c r="AI117" s="284"/>
      <c r="AJ117" s="284"/>
      <c r="AK117" s="360"/>
      <c r="AL117" s="305"/>
      <c r="AM117" s="305"/>
      <c r="AN117" s="305"/>
      <c r="AO117" s="305"/>
      <c r="AP117" s="305"/>
      <c r="AQ117" s="305"/>
      <c r="AR117" s="305"/>
      <c r="AS117" s="305"/>
      <c r="AT117" s="305"/>
      <c r="AU117" s="305"/>
    </row>
    <row r="118" spans="1:47" s="306" customFormat="1" ht="23.25">
      <c r="A118" s="304" t="s">
        <v>367</v>
      </c>
      <c r="B118" s="304" t="s">
        <v>731</v>
      </c>
      <c r="C118" s="341" t="s">
        <v>797</v>
      </c>
      <c r="D118" s="284"/>
      <c r="E118" s="284"/>
      <c r="F118" s="284"/>
      <c r="G118" s="284"/>
      <c r="H118" s="284"/>
      <c r="I118" s="284"/>
      <c r="J118" s="284">
        <v>0.5</v>
      </c>
      <c r="K118" s="287">
        <f t="shared" si="9"/>
        <v>0.22897367456952952</v>
      </c>
      <c r="L118" s="351">
        <v>3.5</v>
      </c>
      <c r="M118" s="284">
        <v>0</v>
      </c>
      <c r="N118" s="339">
        <f t="shared" si="10"/>
        <v>0</v>
      </c>
      <c r="O118" s="287">
        <v>0</v>
      </c>
      <c r="P118" s="284">
        <v>0</v>
      </c>
      <c r="Q118" s="287">
        <f t="shared" si="11"/>
        <v>0</v>
      </c>
      <c r="R118" s="284">
        <f t="shared" si="12"/>
        <v>0</v>
      </c>
      <c r="S118" s="284">
        <v>0</v>
      </c>
      <c r="T118" s="284">
        <f t="shared" si="13"/>
        <v>0</v>
      </c>
      <c r="U118" s="287"/>
      <c r="V118" s="283"/>
      <c r="W118" s="287"/>
      <c r="X118" s="287"/>
      <c r="Y118" s="287"/>
      <c r="Z118" s="287"/>
      <c r="AA118" s="287"/>
      <c r="AB118" s="287"/>
      <c r="AC118" s="287"/>
      <c r="AD118" s="287"/>
      <c r="AE118" s="287"/>
      <c r="AF118" s="287"/>
      <c r="AG118" s="287"/>
      <c r="AH118" s="287"/>
      <c r="AI118" s="284"/>
      <c r="AJ118" s="284"/>
      <c r="AK118" s="360"/>
      <c r="AL118" s="305"/>
      <c r="AM118" s="305"/>
      <c r="AN118" s="305"/>
      <c r="AO118" s="305"/>
      <c r="AP118" s="305"/>
      <c r="AQ118" s="305"/>
      <c r="AR118" s="305"/>
      <c r="AS118" s="305"/>
      <c r="AT118" s="305"/>
      <c r="AU118" s="305"/>
    </row>
    <row r="119" spans="1:47" s="306" customFormat="1" ht="23.25">
      <c r="A119" s="304" t="s">
        <v>369</v>
      </c>
      <c r="B119" s="304" t="s">
        <v>732</v>
      </c>
      <c r="C119" s="341" t="s">
        <v>797</v>
      </c>
      <c r="D119" s="284"/>
      <c r="E119" s="284"/>
      <c r="F119" s="284"/>
      <c r="G119" s="284"/>
      <c r="H119" s="284"/>
      <c r="I119" s="284"/>
      <c r="J119" s="284">
        <v>1</v>
      </c>
      <c r="K119" s="287">
        <f t="shared" si="9"/>
        <v>6.5421049877008433E-2</v>
      </c>
      <c r="L119" s="351">
        <v>1</v>
      </c>
      <c r="M119" s="284">
        <v>0</v>
      </c>
      <c r="N119" s="339">
        <f t="shared" si="10"/>
        <v>0</v>
      </c>
      <c r="O119" s="287">
        <v>0</v>
      </c>
      <c r="P119" s="284">
        <v>0</v>
      </c>
      <c r="Q119" s="287">
        <f t="shared" si="11"/>
        <v>0</v>
      </c>
      <c r="R119" s="284">
        <f t="shared" si="12"/>
        <v>0</v>
      </c>
      <c r="S119" s="284">
        <v>0</v>
      </c>
      <c r="T119" s="284">
        <f t="shared" si="13"/>
        <v>0</v>
      </c>
      <c r="U119" s="287"/>
      <c r="V119" s="283"/>
      <c r="W119" s="287"/>
      <c r="X119" s="287"/>
      <c r="Y119" s="287"/>
      <c r="Z119" s="287"/>
      <c r="AA119" s="287"/>
      <c r="AB119" s="287"/>
      <c r="AC119" s="287"/>
      <c r="AD119" s="287"/>
      <c r="AE119" s="287"/>
      <c r="AF119" s="287"/>
      <c r="AG119" s="287"/>
      <c r="AH119" s="287"/>
      <c r="AI119" s="284"/>
      <c r="AJ119" s="284"/>
      <c r="AK119" s="360"/>
      <c r="AL119" s="305"/>
      <c r="AM119" s="305"/>
      <c r="AN119" s="305"/>
      <c r="AO119" s="305"/>
      <c r="AP119" s="305"/>
      <c r="AQ119" s="305"/>
      <c r="AR119" s="305"/>
      <c r="AS119" s="305"/>
      <c r="AT119" s="305"/>
      <c r="AU119" s="305"/>
    </row>
    <row r="120" spans="1:47" s="306" customFormat="1" ht="39">
      <c r="A120" s="304" t="s">
        <v>371</v>
      </c>
      <c r="B120" s="304" t="s">
        <v>733</v>
      </c>
      <c r="C120" s="341" t="s">
        <v>797</v>
      </c>
      <c r="D120" s="284"/>
      <c r="E120" s="284"/>
      <c r="F120" s="284"/>
      <c r="G120" s="284"/>
      <c r="H120" s="284"/>
      <c r="I120" s="284"/>
      <c r="J120" s="284">
        <v>2</v>
      </c>
      <c r="K120" s="287">
        <f t="shared" si="9"/>
        <v>0.13084209975401687</v>
      </c>
      <c r="L120" s="351">
        <v>2</v>
      </c>
      <c r="M120" s="284">
        <v>0</v>
      </c>
      <c r="N120" s="339">
        <f t="shared" si="10"/>
        <v>0</v>
      </c>
      <c r="O120" s="287">
        <v>0</v>
      </c>
      <c r="P120" s="284">
        <v>0</v>
      </c>
      <c r="Q120" s="287">
        <f t="shared" si="11"/>
        <v>0</v>
      </c>
      <c r="R120" s="284">
        <f t="shared" si="12"/>
        <v>0</v>
      </c>
      <c r="S120" s="284">
        <v>0</v>
      </c>
      <c r="T120" s="284">
        <f t="shared" si="13"/>
        <v>0</v>
      </c>
      <c r="U120" s="287"/>
      <c r="V120" s="283"/>
      <c r="W120" s="287"/>
      <c r="X120" s="287"/>
      <c r="Y120" s="287"/>
      <c r="Z120" s="287"/>
      <c r="AA120" s="287"/>
      <c r="AB120" s="287"/>
      <c r="AC120" s="287"/>
      <c r="AD120" s="287"/>
      <c r="AE120" s="287"/>
      <c r="AF120" s="287"/>
      <c r="AG120" s="287"/>
      <c r="AH120" s="287"/>
      <c r="AI120" s="284"/>
      <c r="AJ120" s="284"/>
      <c r="AK120" s="360"/>
      <c r="AL120" s="305"/>
      <c r="AM120" s="305"/>
      <c r="AN120" s="305"/>
      <c r="AO120" s="305"/>
      <c r="AP120" s="305"/>
      <c r="AQ120" s="305"/>
      <c r="AR120" s="305"/>
      <c r="AS120" s="305"/>
      <c r="AT120" s="305"/>
      <c r="AU120" s="305"/>
    </row>
    <row r="121" spans="1:47" s="306" customFormat="1" ht="23.25">
      <c r="A121" s="304" t="s">
        <v>373</v>
      </c>
      <c r="B121" s="304" t="s">
        <v>734</v>
      </c>
      <c r="C121" s="341" t="s">
        <v>797</v>
      </c>
      <c r="D121" s="284"/>
      <c r="E121" s="284"/>
      <c r="F121" s="284"/>
      <c r="G121" s="284"/>
      <c r="H121" s="284"/>
      <c r="I121" s="284"/>
      <c r="J121" s="284">
        <v>0.5</v>
      </c>
      <c r="K121" s="287">
        <f t="shared" si="9"/>
        <v>0.22897367456952952</v>
      </c>
      <c r="L121" s="351">
        <v>3.5</v>
      </c>
      <c r="M121" s="284">
        <v>0</v>
      </c>
      <c r="N121" s="339">
        <f t="shared" si="10"/>
        <v>0</v>
      </c>
      <c r="O121" s="287">
        <v>0</v>
      </c>
      <c r="P121" s="284">
        <v>0</v>
      </c>
      <c r="Q121" s="287">
        <f t="shared" si="11"/>
        <v>0</v>
      </c>
      <c r="R121" s="284">
        <f t="shared" si="12"/>
        <v>0</v>
      </c>
      <c r="S121" s="284">
        <v>0</v>
      </c>
      <c r="T121" s="284">
        <f t="shared" si="13"/>
        <v>0</v>
      </c>
      <c r="U121" s="287"/>
      <c r="V121" s="283"/>
      <c r="W121" s="287"/>
      <c r="X121" s="287"/>
      <c r="Y121" s="287"/>
      <c r="Z121" s="287"/>
      <c r="AA121" s="287"/>
      <c r="AB121" s="287"/>
      <c r="AC121" s="287"/>
      <c r="AD121" s="287"/>
      <c r="AE121" s="287"/>
      <c r="AF121" s="287"/>
      <c r="AG121" s="287"/>
      <c r="AH121" s="287"/>
      <c r="AI121" s="284"/>
      <c r="AJ121" s="284"/>
      <c r="AK121" s="360"/>
      <c r="AL121" s="305"/>
      <c r="AM121" s="305"/>
      <c r="AN121" s="305"/>
      <c r="AO121" s="305"/>
      <c r="AP121" s="305"/>
      <c r="AQ121" s="305"/>
      <c r="AR121" s="305"/>
      <c r="AS121" s="305"/>
      <c r="AT121" s="305"/>
      <c r="AU121" s="305"/>
    </row>
    <row r="122" spans="1:47" s="306" customFormat="1" ht="23.25">
      <c r="A122" s="304" t="s">
        <v>377</v>
      </c>
      <c r="B122" s="304" t="s">
        <v>735</v>
      </c>
      <c r="C122" s="341" t="s">
        <v>797</v>
      </c>
      <c r="D122" s="284"/>
      <c r="E122" s="284"/>
      <c r="F122" s="284"/>
      <c r="G122" s="284"/>
      <c r="H122" s="284"/>
      <c r="I122" s="284"/>
      <c r="J122" s="284">
        <v>1</v>
      </c>
      <c r="K122" s="287">
        <f t="shared" si="9"/>
        <v>6.5421049877008433E-2</v>
      </c>
      <c r="L122" s="351">
        <v>1</v>
      </c>
      <c r="M122" s="284">
        <v>0</v>
      </c>
      <c r="N122" s="339">
        <f t="shared" si="10"/>
        <v>0</v>
      </c>
      <c r="O122" s="287">
        <v>0</v>
      </c>
      <c r="P122" s="284">
        <v>0</v>
      </c>
      <c r="Q122" s="287">
        <f t="shared" si="11"/>
        <v>0</v>
      </c>
      <c r="R122" s="284">
        <f t="shared" si="12"/>
        <v>0</v>
      </c>
      <c r="S122" s="284">
        <v>0</v>
      </c>
      <c r="T122" s="284">
        <f t="shared" si="13"/>
        <v>0</v>
      </c>
      <c r="U122" s="287"/>
      <c r="V122" s="283"/>
      <c r="W122" s="287"/>
      <c r="X122" s="287"/>
      <c r="Y122" s="287"/>
      <c r="Z122" s="287"/>
      <c r="AA122" s="287"/>
      <c r="AB122" s="287"/>
      <c r="AC122" s="287"/>
      <c r="AD122" s="287"/>
      <c r="AE122" s="287"/>
      <c r="AF122" s="287"/>
      <c r="AG122" s="287"/>
      <c r="AH122" s="287"/>
      <c r="AI122" s="284"/>
      <c r="AJ122" s="284"/>
      <c r="AK122" s="360"/>
      <c r="AL122" s="305"/>
      <c r="AM122" s="305"/>
      <c r="AN122" s="305"/>
      <c r="AO122" s="305"/>
      <c r="AP122" s="305"/>
      <c r="AQ122" s="305"/>
      <c r="AR122" s="305"/>
      <c r="AS122" s="305"/>
      <c r="AT122" s="305"/>
      <c r="AU122" s="305"/>
    </row>
    <row r="123" spans="1:47" s="306" customFormat="1" ht="23.25">
      <c r="A123" s="304" t="s">
        <v>379</v>
      </c>
      <c r="B123" s="304" t="s">
        <v>736</v>
      </c>
      <c r="C123" s="341" t="s">
        <v>797</v>
      </c>
      <c r="D123" s="284"/>
      <c r="E123" s="284"/>
      <c r="F123" s="284"/>
      <c r="G123" s="284"/>
      <c r="H123" s="284"/>
      <c r="I123" s="284"/>
      <c r="J123" s="284">
        <v>1</v>
      </c>
      <c r="K123" s="287">
        <f t="shared" si="9"/>
        <v>6.5421049877008433E-2</v>
      </c>
      <c r="L123" s="351">
        <v>1</v>
      </c>
      <c r="M123" s="284">
        <v>0</v>
      </c>
      <c r="N123" s="339">
        <f t="shared" si="10"/>
        <v>0</v>
      </c>
      <c r="O123" s="287">
        <v>0</v>
      </c>
      <c r="P123" s="284">
        <v>0</v>
      </c>
      <c r="Q123" s="287">
        <f t="shared" si="11"/>
        <v>0</v>
      </c>
      <c r="R123" s="284">
        <f t="shared" si="12"/>
        <v>0</v>
      </c>
      <c r="S123" s="284">
        <v>0</v>
      </c>
      <c r="T123" s="284">
        <f t="shared" si="13"/>
        <v>0</v>
      </c>
      <c r="U123" s="287"/>
      <c r="V123" s="283"/>
      <c r="W123" s="287"/>
      <c r="X123" s="287"/>
      <c r="Y123" s="287"/>
      <c r="Z123" s="287"/>
      <c r="AA123" s="287"/>
      <c r="AB123" s="287"/>
      <c r="AC123" s="287"/>
      <c r="AD123" s="287"/>
      <c r="AE123" s="287"/>
      <c r="AF123" s="287"/>
      <c r="AG123" s="287"/>
      <c r="AH123" s="287"/>
      <c r="AI123" s="284"/>
      <c r="AJ123" s="284"/>
      <c r="AK123" s="360"/>
      <c r="AL123" s="305"/>
      <c r="AM123" s="305"/>
      <c r="AN123" s="305"/>
      <c r="AO123" s="305"/>
      <c r="AP123" s="305"/>
      <c r="AQ123" s="305"/>
      <c r="AR123" s="305"/>
      <c r="AS123" s="305"/>
      <c r="AT123" s="305"/>
      <c r="AU123" s="305"/>
    </row>
    <row r="124" spans="1:47" s="306" customFormat="1" ht="23.25">
      <c r="A124" s="304" t="s">
        <v>381</v>
      </c>
      <c r="B124" s="304" t="s">
        <v>737</v>
      </c>
      <c r="C124" s="341" t="s">
        <v>797</v>
      </c>
      <c r="D124" s="284"/>
      <c r="E124" s="284"/>
      <c r="F124" s="284"/>
      <c r="G124" s="284"/>
      <c r="H124" s="284"/>
      <c r="I124" s="284"/>
      <c r="J124" s="284">
        <v>5</v>
      </c>
      <c r="K124" s="287">
        <f t="shared" si="9"/>
        <v>0.16355262469252108</v>
      </c>
      <c r="L124" s="351">
        <v>2.5</v>
      </c>
      <c r="M124" s="284">
        <v>0</v>
      </c>
      <c r="N124" s="339">
        <f t="shared" si="10"/>
        <v>0</v>
      </c>
      <c r="O124" s="287">
        <v>0</v>
      </c>
      <c r="P124" s="284">
        <v>0</v>
      </c>
      <c r="Q124" s="287">
        <f t="shared" si="11"/>
        <v>0</v>
      </c>
      <c r="R124" s="284">
        <f t="shared" si="12"/>
        <v>0</v>
      </c>
      <c r="S124" s="284">
        <v>0</v>
      </c>
      <c r="T124" s="284">
        <f t="shared" si="13"/>
        <v>0</v>
      </c>
      <c r="U124" s="287"/>
      <c r="V124" s="283"/>
      <c r="W124" s="287"/>
      <c r="X124" s="287"/>
      <c r="Y124" s="287"/>
      <c r="Z124" s="287"/>
      <c r="AA124" s="287"/>
      <c r="AB124" s="287"/>
      <c r="AC124" s="287"/>
      <c r="AD124" s="287"/>
      <c r="AE124" s="287"/>
      <c r="AF124" s="287"/>
      <c r="AG124" s="287"/>
      <c r="AH124" s="287"/>
      <c r="AI124" s="284"/>
      <c r="AJ124" s="284"/>
      <c r="AK124" s="360"/>
      <c r="AL124" s="305"/>
      <c r="AM124" s="305"/>
      <c r="AN124" s="305"/>
      <c r="AO124" s="305"/>
      <c r="AP124" s="305"/>
      <c r="AQ124" s="305"/>
      <c r="AR124" s="305"/>
      <c r="AS124" s="305"/>
      <c r="AT124" s="305"/>
      <c r="AU124" s="305"/>
    </row>
    <row r="125" spans="1:47" s="306" customFormat="1" ht="23.25">
      <c r="A125" s="304" t="s">
        <v>383</v>
      </c>
      <c r="B125" s="304" t="s">
        <v>738</v>
      </c>
      <c r="C125" s="341" t="s">
        <v>797</v>
      </c>
      <c r="D125" s="284"/>
      <c r="E125" s="284"/>
      <c r="F125" s="284"/>
      <c r="G125" s="284"/>
      <c r="H125" s="284"/>
      <c r="I125" s="284"/>
      <c r="J125" s="284">
        <v>1</v>
      </c>
      <c r="K125" s="287">
        <f t="shared" si="9"/>
        <v>0</v>
      </c>
      <c r="L125" s="351">
        <v>0</v>
      </c>
      <c r="M125" s="284">
        <v>0</v>
      </c>
      <c r="N125" s="339">
        <f t="shared" si="10"/>
        <v>0</v>
      </c>
      <c r="O125" s="287">
        <v>0</v>
      </c>
      <c r="P125" s="284">
        <v>0</v>
      </c>
      <c r="Q125" s="287">
        <f t="shared" si="11"/>
        <v>0</v>
      </c>
      <c r="R125" s="284">
        <v>0</v>
      </c>
      <c r="S125" s="284">
        <v>0</v>
      </c>
      <c r="T125" s="284">
        <f t="shared" si="13"/>
        <v>0</v>
      </c>
      <c r="U125" s="287"/>
      <c r="V125" s="283"/>
      <c r="W125" s="287"/>
      <c r="X125" s="287"/>
      <c r="Y125" s="287"/>
      <c r="Z125" s="287"/>
      <c r="AA125" s="287"/>
      <c r="AB125" s="287"/>
      <c r="AC125" s="287"/>
      <c r="AD125" s="287"/>
      <c r="AE125" s="287"/>
      <c r="AF125" s="287"/>
      <c r="AG125" s="287"/>
      <c r="AH125" s="287"/>
      <c r="AI125" s="284"/>
      <c r="AJ125" s="284"/>
      <c r="AK125" s="360"/>
      <c r="AL125" s="305"/>
      <c r="AM125" s="305"/>
      <c r="AN125" s="305"/>
      <c r="AO125" s="305"/>
      <c r="AP125" s="305"/>
      <c r="AQ125" s="305"/>
      <c r="AR125" s="305"/>
      <c r="AS125" s="305"/>
      <c r="AT125" s="305"/>
      <c r="AU125" s="305"/>
    </row>
    <row r="126" spans="1:47" s="306" customFormat="1" ht="23.25">
      <c r="A126" s="304" t="s">
        <v>385</v>
      </c>
      <c r="B126" s="304" t="s">
        <v>739</v>
      </c>
      <c r="C126" s="341" t="s">
        <v>797</v>
      </c>
      <c r="D126" s="284"/>
      <c r="E126" s="284"/>
      <c r="F126" s="284"/>
      <c r="G126" s="284"/>
      <c r="H126" s="284"/>
      <c r="I126" s="284"/>
      <c r="J126" s="284">
        <v>1</v>
      </c>
      <c r="K126" s="287">
        <f t="shared" si="9"/>
        <v>0</v>
      </c>
      <c r="L126" s="351">
        <v>0</v>
      </c>
      <c r="M126" s="284">
        <v>0</v>
      </c>
      <c r="N126" s="339">
        <f t="shared" si="10"/>
        <v>0</v>
      </c>
      <c r="O126" s="287">
        <v>0</v>
      </c>
      <c r="P126" s="284">
        <v>0</v>
      </c>
      <c r="Q126" s="287">
        <f t="shared" si="11"/>
        <v>0</v>
      </c>
      <c r="R126" s="284">
        <v>0</v>
      </c>
      <c r="S126" s="284">
        <v>0</v>
      </c>
      <c r="T126" s="284">
        <f t="shared" si="13"/>
        <v>0</v>
      </c>
      <c r="U126" s="287"/>
      <c r="V126" s="283"/>
      <c r="W126" s="287"/>
      <c r="X126" s="287"/>
      <c r="Y126" s="287"/>
      <c r="Z126" s="287"/>
      <c r="AA126" s="287"/>
      <c r="AB126" s="287"/>
      <c r="AC126" s="287"/>
      <c r="AD126" s="287"/>
      <c r="AE126" s="287"/>
      <c r="AF126" s="287"/>
      <c r="AG126" s="287"/>
      <c r="AH126" s="287"/>
      <c r="AI126" s="284"/>
      <c r="AJ126" s="284"/>
      <c r="AK126" s="360"/>
      <c r="AL126" s="305"/>
      <c r="AM126" s="305"/>
      <c r="AN126" s="305"/>
      <c r="AO126" s="305"/>
      <c r="AP126" s="305"/>
      <c r="AQ126" s="305"/>
      <c r="AR126" s="305"/>
      <c r="AS126" s="305"/>
      <c r="AT126" s="305"/>
      <c r="AU126" s="305"/>
    </row>
    <row r="127" spans="1:47" s="306" customFormat="1" ht="23.25">
      <c r="A127" s="304" t="s">
        <v>387</v>
      </c>
      <c r="B127" s="304" t="s">
        <v>740</v>
      </c>
      <c r="C127" s="341" t="s">
        <v>797</v>
      </c>
      <c r="D127" s="284"/>
      <c r="E127" s="284"/>
      <c r="F127" s="284"/>
      <c r="G127" s="284"/>
      <c r="H127" s="284"/>
      <c r="I127" s="284"/>
      <c r="J127" s="284">
        <v>5</v>
      </c>
      <c r="K127" s="287">
        <f t="shared" si="9"/>
        <v>0.32710524938504215</v>
      </c>
      <c r="L127" s="351">
        <v>5</v>
      </c>
      <c r="M127" s="284">
        <v>0</v>
      </c>
      <c r="N127" s="339">
        <f t="shared" si="10"/>
        <v>0</v>
      </c>
      <c r="O127" s="287">
        <v>0</v>
      </c>
      <c r="P127" s="284">
        <v>0</v>
      </c>
      <c r="Q127" s="287">
        <f t="shared" si="11"/>
        <v>0</v>
      </c>
      <c r="R127" s="284">
        <f t="shared" si="12"/>
        <v>0</v>
      </c>
      <c r="S127" s="284">
        <v>0</v>
      </c>
      <c r="T127" s="284">
        <f t="shared" si="13"/>
        <v>0</v>
      </c>
      <c r="U127" s="287"/>
      <c r="V127" s="283"/>
      <c r="W127" s="287"/>
      <c r="X127" s="287"/>
      <c r="Y127" s="287"/>
      <c r="Z127" s="287"/>
      <c r="AA127" s="287"/>
      <c r="AB127" s="287"/>
      <c r="AC127" s="287"/>
      <c r="AD127" s="287"/>
      <c r="AE127" s="287"/>
      <c r="AF127" s="287"/>
      <c r="AG127" s="287"/>
      <c r="AH127" s="287"/>
      <c r="AI127" s="284"/>
      <c r="AJ127" s="284"/>
      <c r="AK127" s="360"/>
      <c r="AL127" s="305"/>
      <c r="AM127" s="305"/>
      <c r="AN127" s="305"/>
      <c r="AO127" s="305"/>
      <c r="AP127" s="305"/>
      <c r="AQ127" s="305"/>
      <c r="AR127" s="305"/>
      <c r="AS127" s="305"/>
      <c r="AT127" s="305"/>
      <c r="AU127" s="305"/>
    </row>
    <row r="128" spans="1:47" s="306" customFormat="1" ht="23.25">
      <c r="A128" s="304" t="s">
        <v>537</v>
      </c>
      <c r="B128" s="304" t="s">
        <v>741</v>
      </c>
      <c r="C128" s="340" t="s">
        <v>794</v>
      </c>
      <c r="D128" s="284"/>
      <c r="E128" s="284"/>
      <c r="F128" s="284"/>
      <c r="G128" s="284"/>
      <c r="H128" s="284"/>
      <c r="I128" s="284"/>
      <c r="J128" s="284">
        <v>4</v>
      </c>
      <c r="K128" s="287">
        <f t="shared" si="9"/>
        <v>4.5794734913905897</v>
      </c>
      <c r="L128" s="351">
        <v>70</v>
      </c>
      <c r="M128" s="284">
        <v>0</v>
      </c>
      <c r="N128" s="339">
        <f t="shared" si="10"/>
        <v>0</v>
      </c>
      <c r="O128" s="287">
        <v>0</v>
      </c>
      <c r="P128" s="284">
        <v>0</v>
      </c>
      <c r="Q128" s="287">
        <f t="shared" si="11"/>
        <v>0</v>
      </c>
      <c r="R128" s="284">
        <f t="shared" si="12"/>
        <v>0</v>
      </c>
      <c r="S128" s="284">
        <v>0</v>
      </c>
      <c r="T128" s="284">
        <f t="shared" si="13"/>
        <v>0</v>
      </c>
      <c r="U128" s="287"/>
      <c r="V128" s="283"/>
      <c r="W128" s="287"/>
      <c r="X128" s="287"/>
      <c r="Y128" s="287"/>
      <c r="Z128" s="287"/>
      <c r="AA128" s="287"/>
      <c r="AB128" s="287"/>
      <c r="AC128" s="287"/>
      <c r="AD128" s="287"/>
      <c r="AE128" s="287"/>
      <c r="AF128" s="287"/>
      <c r="AG128" s="287"/>
      <c r="AH128" s="287"/>
      <c r="AI128" s="284"/>
      <c r="AJ128" s="284"/>
      <c r="AK128" s="360"/>
      <c r="AL128" s="305"/>
      <c r="AM128" s="305"/>
      <c r="AN128" s="305"/>
      <c r="AO128" s="305"/>
      <c r="AP128" s="305"/>
      <c r="AQ128" s="305"/>
      <c r="AR128" s="305"/>
      <c r="AS128" s="305"/>
      <c r="AT128" s="305"/>
      <c r="AU128" s="305"/>
    </row>
    <row r="129" spans="1:47" s="306" customFormat="1" ht="23.25">
      <c r="A129" s="304" t="s">
        <v>389</v>
      </c>
      <c r="B129" s="304" t="s">
        <v>742</v>
      </c>
      <c r="C129" s="341" t="s">
        <v>797</v>
      </c>
      <c r="D129" s="284"/>
      <c r="E129" s="284"/>
      <c r="F129" s="284"/>
      <c r="G129" s="284"/>
      <c r="H129" s="284"/>
      <c r="I129" s="284"/>
      <c r="J129" s="284">
        <v>6</v>
      </c>
      <c r="K129" s="287">
        <f t="shared" si="9"/>
        <v>1.5701051970482021</v>
      </c>
      <c r="L129" s="351">
        <v>24</v>
      </c>
      <c r="M129" s="284">
        <v>3</v>
      </c>
      <c r="N129" s="339">
        <f t="shared" si="10"/>
        <v>0.78505259852410103</v>
      </c>
      <c r="O129" s="287">
        <v>12</v>
      </c>
      <c r="P129" s="284">
        <v>3</v>
      </c>
      <c r="Q129" s="287">
        <f t="shared" si="11"/>
        <v>0.78505259852410103</v>
      </c>
      <c r="R129" s="284">
        <f t="shared" si="12"/>
        <v>100</v>
      </c>
      <c r="S129" s="284">
        <v>0</v>
      </c>
      <c r="T129" s="284">
        <f t="shared" si="13"/>
        <v>0</v>
      </c>
      <c r="U129" s="287"/>
      <c r="V129" s="283"/>
      <c r="W129" s="287"/>
      <c r="X129" s="287"/>
      <c r="Y129" s="287"/>
      <c r="Z129" s="287"/>
      <c r="AA129" s="287"/>
      <c r="AB129" s="287"/>
      <c r="AC129" s="287"/>
      <c r="AD129" s="287"/>
      <c r="AE129" s="287"/>
      <c r="AF129" s="287"/>
      <c r="AG129" s="287"/>
      <c r="AH129" s="287"/>
      <c r="AI129" s="284"/>
      <c r="AJ129" s="284"/>
      <c r="AK129" s="360"/>
      <c r="AL129" s="305"/>
      <c r="AM129" s="305"/>
      <c r="AN129" s="305"/>
      <c r="AO129" s="305"/>
      <c r="AP129" s="305"/>
      <c r="AQ129" s="305"/>
      <c r="AR129" s="305"/>
      <c r="AS129" s="305"/>
      <c r="AT129" s="305"/>
      <c r="AU129" s="305"/>
    </row>
    <row r="130" spans="1:47" s="306" customFormat="1" ht="23.25">
      <c r="A130" s="304" t="s">
        <v>391</v>
      </c>
      <c r="B130" s="304" t="s">
        <v>743</v>
      </c>
      <c r="C130" s="341" t="s">
        <v>797</v>
      </c>
      <c r="D130" s="284"/>
      <c r="E130" s="284"/>
      <c r="F130" s="284"/>
      <c r="G130" s="284"/>
      <c r="H130" s="284"/>
      <c r="I130" s="284"/>
      <c r="J130" s="284">
        <v>6</v>
      </c>
      <c r="K130" s="287">
        <f t="shared" si="9"/>
        <v>0.39252629926205052</v>
      </c>
      <c r="L130" s="351">
        <v>6</v>
      </c>
      <c r="M130" s="284">
        <v>0</v>
      </c>
      <c r="N130" s="339">
        <f t="shared" si="10"/>
        <v>0</v>
      </c>
      <c r="O130" s="287">
        <v>0</v>
      </c>
      <c r="P130" s="284">
        <v>0</v>
      </c>
      <c r="Q130" s="287">
        <f t="shared" si="11"/>
        <v>0</v>
      </c>
      <c r="R130" s="284">
        <f t="shared" si="12"/>
        <v>0</v>
      </c>
      <c r="S130" s="284">
        <v>0</v>
      </c>
      <c r="T130" s="284">
        <f t="shared" si="13"/>
        <v>0</v>
      </c>
      <c r="U130" s="287"/>
      <c r="V130" s="283"/>
      <c r="W130" s="287"/>
      <c r="X130" s="287"/>
      <c r="Y130" s="287"/>
      <c r="Z130" s="287"/>
      <c r="AA130" s="287"/>
      <c r="AB130" s="287"/>
      <c r="AC130" s="287"/>
      <c r="AD130" s="287"/>
      <c r="AE130" s="287"/>
      <c r="AF130" s="287"/>
      <c r="AG130" s="287"/>
      <c r="AH130" s="287"/>
      <c r="AI130" s="284"/>
      <c r="AJ130" s="284"/>
      <c r="AK130" s="360"/>
      <c r="AL130" s="305"/>
      <c r="AM130" s="305"/>
      <c r="AN130" s="305"/>
      <c r="AO130" s="305"/>
      <c r="AP130" s="305"/>
      <c r="AQ130" s="305"/>
      <c r="AR130" s="305"/>
      <c r="AS130" s="305"/>
      <c r="AT130" s="305"/>
      <c r="AU130" s="305"/>
    </row>
    <row r="131" spans="1:47" s="306" customFormat="1" ht="23.25">
      <c r="A131" s="304" t="s">
        <v>393</v>
      </c>
      <c r="B131" s="304" t="s">
        <v>744</v>
      </c>
      <c r="C131" s="341" t="s">
        <v>797</v>
      </c>
      <c r="D131" s="284"/>
      <c r="E131" s="284"/>
      <c r="F131" s="284"/>
      <c r="G131" s="284"/>
      <c r="H131" s="284"/>
      <c r="I131" s="284"/>
      <c r="J131" s="284">
        <v>0.5</v>
      </c>
      <c r="K131" s="287">
        <f t="shared" si="9"/>
        <v>3.2710524938504217E-2</v>
      </c>
      <c r="L131" s="351">
        <v>0.5</v>
      </c>
      <c r="M131" s="284">
        <v>0</v>
      </c>
      <c r="N131" s="339">
        <f t="shared" si="10"/>
        <v>0</v>
      </c>
      <c r="O131" s="287">
        <v>0</v>
      </c>
      <c r="P131" s="284">
        <v>0</v>
      </c>
      <c r="Q131" s="287">
        <f t="shared" si="11"/>
        <v>0</v>
      </c>
      <c r="R131" s="284">
        <f t="shared" si="12"/>
        <v>0</v>
      </c>
      <c r="S131" s="284">
        <v>0</v>
      </c>
      <c r="T131" s="284">
        <f t="shared" si="13"/>
        <v>0</v>
      </c>
      <c r="U131" s="287"/>
      <c r="V131" s="283"/>
      <c r="W131" s="287"/>
      <c r="X131" s="287"/>
      <c r="Y131" s="287"/>
      <c r="Z131" s="287"/>
      <c r="AA131" s="287"/>
      <c r="AB131" s="287"/>
      <c r="AC131" s="287"/>
      <c r="AD131" s="287"/>
      <c r="AE131" s="287"/>
      <c r="AF131" s="287"/>
      <c r="AG131" s="287"/>
      <c r="AH131" s="287"/>
      <c r="AI131" s="284"/>
      <c r="AJ131" s="284"/>
      <c r="AK131" s="360"/>
      <c r="AL131" s="305"/>
      <c r="AM131" s="305"/>
      <c r="AN131" s="305"/>
      <c r="AO131" s="305"/>
      <c r="AP131" s="305"/>
      <c r="AQ131" s="305"/>
      <c r="AR131" s="305"/>
      <c r="AS131" s="305"/>
      <c r="AT131" s="305"/>
      <c r="AU131" s="305"/>
    </row>
    <row r="132" spans="1:47" s="306" customFormat="1" ht="23.25">
      <c r="A132" s="304" t="s">
        <v>450</v>
      </c>
      <c r="B132" s="304" t="s">
        <v>745</v>
      </c>
      <c r="C132" s="341" t="s">
        <v>797</v>
      </c>
      <c r="D132" s="284"/>
      <c r="E132" s="284"/>
      <c r="F132" s="284"/>
      <c r="G132" s="284"/>
      <c r="H132" s="284"/>
      <c r="I132" s="284"/>
      <c r="J132" s="284">
        <v>1</v>
      </c>
      <c r="K132" s="287">
        <f t="shared" si="9"/>
        <v>0.26168419950803373</v>
      </c>
      <c r="L132" s="351">
        <v>4</v>
      </c>
      <c r="M132" s="284">
        <v>0</v>
      </c>
      <c r="N132" s="339">
        <f t="shared" si="10"/>
        <v>0</v>
      </c>
      <c r="O132" s="287">
        <v>0</v>
      </c>
      <c r="P132" s="284">
        <v>0</v>
      </c>
      <c r="Q132" s="287">
        <f t="shared" si="11"/>
        <v>0</v>
      </c>
      <c r="R132" s="284">
        <f t="shared" si="12"/>
        <v>0</v>
      </c>
      <c r="S132" s="284">
        <v>0</v>
      </c>
      <c r="T132" s="284">
        <f t="shared" si="13"/>
        <v>0</v>
      </c>
      <c r="U132" s="287"/>
      <c r="V132" s="283"/>
      <c r="W132" s="287"/>
      <c r="X132" s="287"/>
      <c r="Y132" s="287"/>
      <c r="Z132" s="287"/>
      <c r="AA132" s="287"/>
      <c r="AB132" s="287"/>
      <c r="AC132" s="287"/>
      <c r="AD132" s="287"/>
      <c r="AE132" s="287"/>
      <c r="AF132" s="287"/>
      <c r="AG132" s="287"/>
      <c r="AH132" s="287"/>
      <c r="AI132" s="284"/>
      <c r="AJ132" s="284"/>
      <c r="AK132" s="360"/>
      <c r="AL132" s="305"/>
      <c r="AM132" s="305"/>
      <c r="AN132" s="305"/>
      <c r="AO132" s="305"/>
      <c r="AP132" s="305"/>
      <c r="AQ132" s="305"/>
      <c r="AR132" s="305"/>
      <c r="AS132" s="305"/>
      <c r="AT132" s="305"/>
      <c r="AU132" s="305"/>
    </row>
    <row r="133" spans="1:47" s="306" customFormat="1" ht="23.25">
      <c r="A133" s="304" t="s">
        <v>395</v>
      </c>
      <c r="B133" s="304" t="s">
        <v>746</v>
      </c>
      <c r="C133" s="340" t="s">
        <v>794</v>
      </c>
      <c r="D133" s="284"/>
      <c r="E133" s="284"/>
      <c r="F133" s="284"/>
      <c r="G133" s="284"/>
      <c r="H133" s="284"/>
      <c r="I133" s="284"/>
      <c r="J133" s="284">
        <v>5</v>
      </c>
      <c r="K133" s="287">
        <f t="shared" si="9"/>
        <v>0.32710524938504215</v>
      </c>
      <c r="L133" s="351">
        <v>5</v>
      </c>
      <c r="M133" s="284">
        <v>0</v>
      </c>
      <c r="N133" s="339">
        <f t="shared" si="10"/>
        <v>0</v>
      </c>
      <c r="O133" s="287">
        <v>0</v>
      </c>
      <c r="P133" s="284">
        <v>0</v>
      </c>
      <c r="Q133" s="287">
        <f t="shared" si="11"/>
        <v>0</v>
      </c>
      <c r="R133" s="284">
        <f t="shared" si="12"/>
        <v>0</v>
      </c>
      <c r="S133" s="284">
        <v>0</v>
      </c>
      <c r="T133" s="284">
        <f t="shared" si="13"/>
        <v>0</v>
      </c>
      <c r="U133" s="287"/>
      <c r="V133" s="283"/>
      <c r="W133" s="287"/>
      <c r="X133" s="287"/>
      <c r="Y133" s="287"/>
      <c r="Z133" s="287"/>
      <c r="AA133" s="287"/>
      <c r="AB133" s="287"/>
      <c r="AC133" s="287"/>
      <c r="AD133" s="287"/>
      <c r="AE133" s="287"/>
      <c r="AF133" s="287"/>
      <c r="AG133" s="287"/>
      <c r="AH133" s="287"/>
      <c r="AI133" s="284"/>
      <c r="AJ133" s="284"/>
      <c r="AK133" s="360"/>
      <c r="AL133" s="305"/>
      <c r="AM133" s="305"/>
      <c r="AN133" s="305"/>
      <c r="AO133" s="305"/>
      <c r="AP133" s="305"/>
      <c r="AQ133" s="305"/>
      <c r="AR133" s="305"/>
      <c r="AS133" s="305"/>
      <c r="AT133" s="305"/>
      <c r="AU133" s="305"/>
    </row>
    <row r="134" spans="1:47" s="306" customFormat="1" ht="23.25">
      <c r="A134" s="334" t="s">
        <v>600</v>
      </c>
      <c r="B134" s="334" t="s">
        <v>747</v>
      </c>
      <c r="C134" s="342" t="s">
        <v>794</v>
      </c>
      <c r="D134" s="281"/>
      <c r="E134" s="281"/>
      <c r="F134" s="281"/>
      <c r="G134" s="281"/>
      <c r="H134" s="281"/>
      <c r="I134" s="281"/>
      <c r="J134" s="281">
        <v>2</v>
      </c>
      <c r="K134" s="299">
        <f t="shared" si="9"/>
        <v>0.6542104987700843</v>
      </c>
      <c r="L134" s="357">
        <v>10</v>
      </c>
      <c r="M134" s="281">
        <v>1</v>
      </c>
      <c r="N134" s="343">
        <f t="shared" si="10"/>
        <v>0.32710524938504215</v>
      </c>
      <c r="O134" s="299">
        <v>5</v>
      </c>
      <c r="P134" s="281">
        <v>1</v>
      </c>
      <c r="Q134" s="359">
        <f t="shared" si="11"/>
        <v>0.32710524938504215</v>
      </c>
      <c r="R134" s="281">
        <f t="shared" si="12"/>
        <v>100</v>
      </c>
      <c r="S134" s="281">
        <v>0</v>
      </c>
      <c r="T134" s="281">
        <f t="shared" si="13"/>
        <v>0</v>
      </c>
      <c r="U134" s="299"/>
      <c r="V134" s="358"/>
      <c r="W134" s="299"/>
      <c r="X134" s="299"/>
      <c r="Y134" s="299"/>
      <c r="Z134" s="299"/>
      <c r="AA134" s="299"/>
      <c r="AB134" s="299"/>
      <c r="AC134" s="299"/>
      <c r="AD134" s="299"/>
      <c r="AE134" s="299"/>
      <c r="AF134" s="299"/>
      <c r="AG134" s="299"/>
      <c r="AH134" s="299"/>
      <c r="AI134" s="281"/>
      <c r="AJ134" s="281"/>
      <c r="AK134" s="361"/>
      <c r="AL134" s="305"/>
      <c r="AM134" s="305"/>
      <c r="AN134" s="305"/>
      <c r="AO134" s="305"/>
      <c r="AP134" s="305"/>
      <c r="AQ134" s="305"/>
      <c r="AR134" s="305"/>
      <c r="AS134" s="305"/>
      <c r="AT134" s="305"/>
      <c r="AU134" s="305"/>
    </row>
    <row r="135" spans="1:47" s="177" customFormat="1" ht="19.5">
      <c r="A135" s="331" t="s">
        <v>748</v>
      </c>
      <c r="B135" s="332" t="s">
        <v>749</v>
      </c>
      <c r="C135" s="331"/>
      <c r="D135" s="331"/>
      <c r="E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331">
        <f>SUM(G32:G32)</f>
        <v>0</v>
      </c>
      <c r="H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331"/>
      <c r="K135" s="333">
        <v>92.32</v>
      </c>
      <c r="L135" s="333">
        <f>SUM(L22:L30,L32:L33,L35,L37,L39,L41,L43,L45,L47,L49,L51,L53,L55,L57,L59,L61,L63,L65,L67:L134)</f>
        <v>1409.9999999999998</v>
      </c>
      <c r="M135" s="331"/>
      <c r="N135" s="333">
        <v>17.78</v>
      </c>
      <c r="O135" s="333">
        <f>SUM(O22:O30,O32:O33,O35,O37,O39,O41,O43,O45,O47,O49,O51,O53,O55,O57,O59,O61,O63,O65,O67:O134)</f>
        <v>271.60000000000002</v>
      </c>
      <c r="P135" s="333"/>
      <c r="Q135" s="329">
        <f>SUM(Q22:Q30,Q32:Q33,Q35,Q37,Q39,Q41,Q43,Q45,Q47,Q49,Q51,Q53,Q55,Q57,Q59,Q61,Q63,Q65,Q67:Q134)</f>
        <v>12.434115305445182</v>
      </c>
      <c r="R135" s="329">
        <f>Q135/N135*100</f>
        <v>69.933156948510572</v>
      </c>
      <c r="S135" s="333">
        <f>SUM(S22:S30,S32:S33,S35,S37,S39,S41,S43,S45,S47,S49,S51,S53,S55,S57,S59,S61,S63,S65,S67:S134)</f>
        <v>0</v>
      </c>
      <c r="T135" s="333">
        <f>SUM(T22:T30,T32:T33,T35,T37,T39,T41,T43,T45,T47,T49,T51,T53,T55,T57,T59,T61,T63,T65,T67:T134)</f>
        <v>0</v>
      </c>
      <c r="U135" s="333"/>
      <c r="V135" s="333">
        <f>SUM(V31:V134)</f>
        <v>11.120000000000001</v>
      </c>
      <c r="W135" s="333" t="e">
        <f>#REF!+#REF!+#REF!+#REF!</f>
        <v>#REF!</v>
      </c>
      <c r="X135" s="333"/>
      <c r="Y135" s="333"/>
      <c r="Z135" s="333">
        <f>SUM(Z31:Z134)</f>
        <v>2.7825262992620505</v>
      </c>
      <c r="AA135" s="333"/>
      <c r="AB135" s="333"/>
      <c r="AC135" s="333"/>
      <c r="AD135" s="333"/>
      <c r="AE135" s="333"/>
      <c r="AF135" s="333"/>
      <c r="AG135" s="333"/>
      <c r="AH135" s="333">
        <f>SUM(AH31:AH134)</f>
        <v>2.9621578479091433</v>
      </c>
      <c r="AI135" s="331"/>
      <c r="AJ135" s="331"/>
      <c r="AK135" s="331"/>
      <c r="AL135" s="220"/>
      <c r="AM135" s="220"/>
      <c r="AN135" s="220"/>
      <c r="AO135" s="220"/>
      <c r="AP135" s="220"/>
      <c r="AQ135" s="220"/>
      <c r="AR135" s="220"/>
      <c r="AS135" s="220"/>
      <c r="AT135" s="220"/>
      <c r="AU135" s="220"/>
    </row>
    <row r="136" spans="1:47" ht="19.5">
      <c r="A136" s="281"/>
      <c r="B136" s="298" t="s">
        <v>756</v>
      </c>
      <c r="C136" s="281"/>
      <c r="D136" s="281"/>
      <c r="E136" s="281">
        <v>100</v>
      </c>
      <c r="F136" s="281" t="e">
        <f t="shared" ref="F136:AH136" si="14">F135</f>
        <v>#REF!</v>
      </c>
      <c r="G136" s="281">
        <f t="shared" si="14"/>
        <v>0</v>
      </c>
      <c r="H136" s="281" t="e">
        <f t="shared" si="14"/>
        <v>#REF!</v>
      </c>
      <c r="I136" s="281" t="e">
        <f t="shared" si="14"/>
        <v>#REF!</v>
      </c>
      <c r="J136" s="281"/>
      <c r="K136" s="281">
        <f t="shared" si="14"/>
        <v>92.32</v>
      </c>
      <c r="L136" s="299">
        <f>L135</f>
        <v>1409.9999999999998</v>
      </c>
      <c r="M136" s="281"/>
      <c r="N136" s="281">
        <f>N135</f>
        <v>17.78</v>
      </c>
      <c r="O136" s="299">
        <f>O135</f>
        <v>271.60000000000002</v>
      </c>
      <c r="P136" s="281"/>
      <c r="Q136" s="299">
        <f t="shared" ref="Q136:T136" si="15">Q135</f>
        <v>12.434115305445182</v>
      </c>
      <c r="R136" s="299">
        <f t="shared" si="15"/>
        <v>69.933156948510572</v>
      </c>
      <c r="S136" s="299">
        <f t="shared" si="15"/>
        <v>0</v>
      </c>
      <c r="T136" s="299">
        <f t="shared" si="15"/>
        <v>0</v>
      </c>
      <c r="U136" s="281"/>
      <c r="V136" s="281">
        <f t="shared" si="14"/>
        <v>11.120000000000001</v>
      </c>
      <c r="W136" s="281" t="e">
        <f t="shared" si="14"/>
        <v>#REF!</v>
      </c>
      <c r="X136" s="281"/>
      <c r="Y136" s="281"/>
      <c r="Z136" s="299">
        <f t="shared" si="14"/>
        <v>2.7825262992620505</v>
      </c>
      <c r="AA136" s="299"/>
      <c r="AB136" s="299"/>
      <c r="AC136" s="299"/>
      <c r="AD136" s="299"/>
      <c r="AE136" s="299"/>
      <c r="AF136" s="299"/>
      <c r="AG136" s="281"/>
      <c r="AH136" s="299">
        <f t="shared" si="14"/>
        <v>2.9621578479091433</v>
      </c>
      <c r="AI136" s="281"/>
      <c r="AJ136" s="281"/>
      <c r="AK136" s="281"/>
      <c r="AL136" s="220"/>
      <c r="AM136" s="220"/>
      <c r="AN136" s="220"/>
      <c r="AO136" s="220"/>
      <c r="AP136" s="220"/>
      <c r="AQ136" s="220"/>
      <c r="AR136" s="220"/>
      <c r="AS136" s="220"/>
      <c r="AT136" s="220"/>
      <c r="AU136" s="220"/>
    </row>
    <row r="137" spans="1:47" s="220" customFormat="1" ht="19.5">
      <c r="C137" s="311"/>
      <c r="D137" s="254"/>
      <c r="E137" s="254"/>
      <c r="F137" s="254"/>
      <c r="G137" s="254"/>
      <c r="H137" s="254"/>
      <c r="I137" s="254"/>
      <c r="J137" s="255"/>
      <c r="K137" s="617"/>
      <c r="L137" s="617"/>
      <c r="M137" s="255"/>
      <c r="N137" s="255"/>
      <c r="O137" s="255"/>
      <c r="P137" s="255"/>
      <c r="Q137" s="255"/>
      <c r="R137" s="255"/>
      <c r="S137" s="255"/>
      <c r="T137" s="255"/>
      <c r="U137" s="255"/>
      <c r="V137" s="255"/>
      <c r="W137" s="255"/>
      <c r="X137" s="255"/>
      <c r="Y137" s="255"/>
      <c r="Z137" s="254"/>
      <c r="AA137" s="254"/>
      <c r="AB137" s="254"/>
      <c r="AC137" s="254"/>
      <c r="AD137" s="254"/>
      <c r="AE137" s="254"/>
      <c r="AF137" s="254"/>
      <c r="AG137" s="254"/>
      <c r="AH137" s="256"/>
      <c r="AI137" s="256"/>
      <c r="AJ137" s="256"/>
      <c r="AK137" s="256"/>
    </row>
    <row r="138" spans="1:47" s="220" customFormat="1" ht="19.5">
      <c r="C138" s="311"/>
      <c r="D138" s="256"/>
      <c r="E138" s="256"/>
      <c r="F138" s="256"/>
      <c r="G138" s="256"/>
      <c r="H138" s="256"/>
      <c r="I138" s="256"/>
      <c r="J138" s="257"/>
      <c r="K138" s="257"/>
      <c r="L138" s="321"/>
      <c r="M138" s="257"/>
      <c r="N138" s="257"/>
      <c r="O138" s="257"/>
      <c r="P138" s="257"/>
      <c r="Q138" s="257"/>
      <c r="R138" s="257"/>
      <c r="S138" s="257"/>
      <c r="T138" s="257"/>
      <c r="U138" s="257"/>
      <c r="V138" s="257"/>
      <c r="W138" s="257"/>
      <c r="X138" s="257"/>
      <c r="Y138" s="257"/>
      <c r="Z138" s="256"/>
      <c r="AA138" s="256"/>
      <c r="AB138" s="256"/>
      <c r="AC138" s="256"/>
      <c r="AD138" s="256"/>
      <c r="AE138" s="256"/>
      <c r="AF138" s="256"/>
      <c r="AG138" s="256"/>
      <c r="AH138" s="256"/>
      <c r="AI138" s="256"/>
      <c r="AJ138" s="256"/>
      <c r="AK138" s="256"/>
    </row>
    <row r="139" spans="1:47" s="220" customFormat="1" ht="19.5">
      <c r="C139" s="311"/>
      <c r="D139" s="256"/>
      <c r="E139" s="256"/>
      <c r="F139" s="256"/>
      <c r="G139" s="256"/>
      <c r="H139" s="256"/>
      <c r="I139" s="256"/>
      <c r="J139" s="257"/>
      <c r="K139" s="257"/>
      <c r="L139" s="321"/>
      <c r="M139" s="257"/>
      <c r="N139" s="257"/>
      <c r="O139" s="257"/>
      <c r="P139" s="257"/>
      <c r="Q139" s="257"/>
      <c r="R139" s="257"/>
      <c r="S139" s="257"/>
      <c r="T139" s="257"/>
      <c r="U139" s="257"/>
      <c r="V139" s="257"/>
      <c r="W139" s="257"/>
      <c r="X139" s="257"/>
      <c r="Y139" s="257"/>
      <c r="Z139" s="256"/>
      <c r="AA139" s="256"/>
      <c r="AB139" s="256"/>
      <c r="AC139" s="256"/>
      <c r="AD139" s="256"/>
      <c r="AE139" s="256"/>
      <c r="AF139" s="256"/>
      <c r="AG139" s="256"/>
      <c r="AH139" s="256"/>
      <c r="AI139" s="256"/>
      <c r="AJ139" s="256"/>
      <c r="AK139" s="256"/>
    </row>
    <row r="140" spans="1:47" s="220" customFormat="1" ht="19.5">
      <c r="B140" s="258" t="s">
        <v>750</v>
      </c>
      <c r="C140" s="312"/>
      <c r="D140" s="259"/>
      <c r="E140" s="259"/>
      <c r="F140" s="259"/>
      <c r="G140" s="259"/>
      <c r="H140" s="259"/>
      <c r="I140" s="259"/>
      <c r="J140" s="260"/>
      <c r="K140" s="261"/>
      <c r="L140" s="322"/>
      <c r="M140" s="261"/>
      <c r="N140" s="261"/>
      <c r="O140" s="261"/>
      <c r="P140" s="258" t="s">
        <v>770</v>
      </c>
      <c r="Q140" s="261"/>
      <c r="R140" s="261"/>
      <c r="S140" s="261"/>
      <c r="T140" s="261"/>
      <c r="U140" s="261"/>
      <c r="V140" s="261"/>
      <c r="W140" s="261"/>
      <c r="X140" s="261"/>
      <c r="Y140" s="261"/>
      <c r="Z140" s="259"/>
      <c r="AA140" s="259"/>
      <c r="AB140" s="259"/>
      <c r="AC140" s="259"/>
      <c r="AD140" s="259"/>
      <c r="AE140" s="259"/>
      <c r="AF140" s="259"/>
      <c r="AG140" s="259"/>
      <c r="AH140" s="259"/>
      <c r="AK140" s="262"/>
    </row>
    <row r="141" spans="1:47" s="220" customFormat="1" ht="19.5">
      <c r="B141" s="258" t="s">
        <v>751</v>
      </c>
      <c r="C141" s="311"/>
      <c r="D141" s="256"/>
      <c r="E141" s="256"/>
      <c r="F141" s="256"/>
      <c r="G141" s="256"/>
      <c r="H141" s="256"/>
      <c r="I141" s="256"/>
      <c r="J141" s="257"/>
      <c r="K141" s="257"/>
      <c r="L141" s="321"/>
      <c r="M141" s="257"/>
      <c r="N141" s="257"/>
      <c r="O141" s="257"/>
      <c r="P141" s="258" t="s">
        <v>751</v>
      </c>
      <c r="Q141" s="261"/>
      <c r="R141" s="257"/>
      <c r="S141" s="257"/>
      <c r="T141" s="257"/>
      <c r="U141" s="257"/>
      <c r="V141" s="257"/>
      <c r="W141" s="257"/>
      <c r="X141" s="257"/>
      <c r="Y141" s="257"/>
      <c r="Z141" s="256"/>
      <c r="AA141" s="256"/>
      <c r="AB141" s="256"/>
      <c r="AC141" s="256"/>
      <c r="AD141" s="256"/>
      <c r="AE141" s="256"/>
      <c r="AF141" s="256"/>
      <c r="AG141" s="256"/>
      <c r="AH141" s="256"/>
      <c r="AI141" s="256"/>
      <c r="AJ141" s="256"/>
      <c r="AK141" s="256"/>
    </row>
    <row r="142" spans="1:47" s="220" customFormat="1" ht="19.5">
      <c r="C142" s="313"/>
      <c r="L142" s="323"/>
      <c r="U142" s="220" t="s">
        <v>457</v>
      </c>
      <c r="W142" s="263"/>
    </row>
    <row r="143" spans="1:47" s="220" customFormat="1" ht="19.5">
      <c r="C143" s="313"/>
      <c r="L143" s="323"/>
      <c r="W143" s="263"/>
    </row>
    <row r="144" spans="1:47" s="220" customFormat="1" ht="19.5">
      <c r="C144" s="313"/>
      <c r="L144" s="323"/>
      <c r="W144" s="263"/>
    </row>
    <row r="145" spans="3:47" s="220" customFormat="1" ht="19.5">
      <c r="C145" s="313"/>
      <c r="L145" s="323"/>
      <c r="W145" s="263"/>
    </row>
    <row r="146" spans="3:47" ht="19.5">
      <c r="C146" s="313"/>
      <c r="D146" s="220"/>
      <c r="E146" s="220"/>
      <c r="F146" s="220"/>
      <c r="G146" s="220"/>
      <c r="H146" s="220"/>
      <c r="I146" s="220"/>
      <c r="J146" s="220"/>
      <c r="K146" s="220"/>
      <c r="L146" s="323"/>
      <c r="M146" s="220"/>
      <c r="N146" s="220"/>
      <c r="O146" s="220"/>
      <c r="P146" s="220"/>
      <c r="Q146" s="220"/>
      <c r="R146" s="220"/>
      <c r="S146" s="220"/>
      <c r="T146" s="220"/>
      <c r="U146" s="220"/>
      <c r="V146" s="220"/>
      <c r="W146" s="263"/>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row>
    <row r="147" spans="3:47" ht="19.5">
      <c r="C147" s="313"/>
      <c r="D147" s="220"/>
      <c r="E147" s="220"/>
      <c r="F147" s="220"/>
      <c r="G147" s="220"/>
      <c r="H147" s="220"/>
      <c r="I147" s="220"/>
      <c r="J147" s="220"/>
      <c r="K147" s="220"/>
      <c r="L147" s="323"/>
      <c r="M147" s="220"/>
      <c r="N147" s="220"/>
      <c r="O147" s="220"/>
      <c r="P147" s="220"/>
      <c r="Q147" s="220"/>
      <c r="R147" s="220"/>
      <c r="S147" s="220"/>
      <c r="T147" s="220"/>
      <c r="U147" s="220"/>
      <c r="V147" s="220"/>
      <c r="W147" s="263"/>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row>
    <row r="148" spans="3:47" ht="19.5">
      <c r="C148" s="313"/>
      <c r="D148" s="220"/>
      <c r="E148" s="220"/>
      <c r="F148" s="220"/>
      <c r="G148" s="220"/>
      <c r="H148" s="220"/>
      <c r="I148" s="220"/>
      <c r="J148" s="220"/>
      <c r="K148" s="220"/>
      <c r="L148" s="323"/>
      <c r="M148" s="220"/>
      <c r="N148" s="220"/>
      <c r="O148" s="220"/>
      <c r="P148" s="220"/>
      <c r="Q148" s="220"/>
      <c r="R148" s="220"/>
      <c r="S148" s="220"/>
      <c r="T148" s="220"/>
      <c r="U148" s="220"/>
      <c r="V148" s="220"/>
      <c r="W148" s="263"/>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row>
    <row r="149" spans="3:47" ht="19.5">
      <c r="C149" s="313"/>
      <c r="D149" s="220"/>
      <c r="E149" s="220"/>
      <c r="F149" s="220"/>
      <c r="G149" s="220"/>
      <c r="H149" s="220"/>
      <c r="I149" s="220"/>
      <c r="J149" s="220"/>
      <c r="K149" s="220"/>
      <c r="L149" s="323"/>
      <c r="M149" s="220"/>
      <c r="N149" s="220"/>
      <c r="O149" s="220"/>
      <c r="P149" s="220"/>
      <c r="Q149" s="220"/>
      <c r="R149" s="220"/>
      <c r="S149" s="220"/>
      <c r="T149" s="220"/>
      <c r="U149" s="220"/>
      <c r="V149" s="220"/>
      <c r="W149" s="263"/>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row>
    <row r="150" spans="3:47" ht="19.5">
      <c r="C150" s="313"/>
      <c r="D150" s="220"/>
      <c r="E150" s="220"/>
      <c r="F150" s="220"/>
      <c r="G150" s="220"/>
      <c r="H150" s="220"/>
      <c r="I150" s="220"/>
      <c r="J150" s="220"/>
      <c r="K150" s="220"/>
      <c r="L150" s="323"/>
      <c r="M150" s="220"/>
      <c r="N150" s="220"/>
      <c r="O150" s="220"/>
      <c r="P150" s="220"/>
      <c r="Q150" s="220"/>
      <c r="R150" s="220"/>
      <c r="S150" s="220"/>
      <c r="T150" s="220"/>
      <c r="U150" s="220"/>
      <c r="V150" s="220"/>
      <c r="W150" s="263"/>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row>
    <row r="151" spans="3:47" ht="19.5">
      <c r="C151" s="313"/>
      <c r="D151" s="220"/>
      <c r="E151" s="220"/>
      <c r="F151" s="220"/>
      <c r="G151" s="220"/>
      <c r="H151" s="220"/>
      <c r="I151" s="220"/>
      <c r="J151" s="220"/>
      <c r="K151" s="220"/>
      <c r="L151" s="323"/>
      <c r="M151" s="220"/>
      <c r="N151" s="220"/>
      <c r="O151" s="220"/>
      <c r="P151" s="220"/>
      <c r="Q151" s="220"/>
      <c r="R151" s="220"/>
      <c r="S151" s="220"/>
      <c r="T151" s="220"/>
      <c r="U151" s="220"/>
      <c r="V151" s="220"/>
      <c r="W151" s="263"/>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row>
    <row r="152" spans="3:47" ht="19.5">
      <c r="C152" s="313"/>
      <c r="D152" s="220"/>
      <c r="E152" s="220"/>
      <c r="F152" s="220"/>
      <c r="G152" s="220"/>
      <c r="H152" s="220"/>
      <c r="I152" s="220"/>
      <c r="J152" s="220"/>
      <c r="K152" s="220"/>
      <c r="L152" s="323"/>
      <c r="M152" s="220"/>
      <c r="N152" s="220"/>
      <c r="O152" s="220"/>
      <c r="P152" s="220"/>
      <c r="Q152" s="220"/>
      <c r="R152" s="220"/>
      <c r="S152" s="220"/>
      <c r="T152" s="220"/>
      <c r="U152" s="220"/>
      <c r="V152" s="220"/>
      <c r="W152" s="263"/>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row>
    <row r="153" spans="3:47" ht="19.5">
      <c r="C153" s="313"/>
      <c r="D153" s="220"/>
      <c r="E153" s="220"/>
      <c r="F153" s="220"/>
      <c r="G153" s="220"/>
      <c r="H153" s="220"/>
      <c r="I153" s="220"/>
      <c r="J153" s="220"/>
      <c r="K153" s="220"/>
      <c r="L153" s="323"/>
      <c r="M153" s="220"/>
      <c r="N153" s="220"/>
      <c r="O153" s="220"/>
      <c r="P153" s="220"/>
      <c r="Q153" s="220"/>
      <c r="R153" s="220"/>
      <c r="S153" s="220"/>
      <c r="T153" s="220"/>
      <c r="U153" s="220"/>
      <c r="V153" s="220"/>
      <c r="W153" s="263"/>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row>
    <row r="154" spans="3:47" ht="19.5">
      <c r="C154" s="313"/>
      <c r="D154" s="220"/>
      <c r="E154" s="220"/>
      <c r="F154" s="220"/>
      <c r="G154" s="220"/>
      <c r="H154" s="220"/>
      <c r="I154" s="220"/>
      <c r="J154" s="220"/>
      <c r="K154" s="220"/>
      <c r="L154" s="323"/>
      <c r="M154" s="220"/>
      <c r="N154" s="220"/>
      <c r="O154" s="220"/>
      <c r="P154" s="220"/>
      <c r="Q154" s="220"/>
      <c r="R154" s="220"/>
      <c r="S154" s="220"/>
      <c r="T154" s="220"/>
      <c r="U154" s="220"/>
      <c r="V154" s="220"/>
      <c r="W154" s="263"/>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row>
    <row r="155" spans="3:47" ht="19.5">
      <c r="C155" s="313"/>
      <c r="D155" s="220"/>
      <c r="E155" s="220"/>
      <c r="F155" s="220"/>
      <c r="G155" s="220"/>
      <c r="H155" s="220"/>
      <c r="I155" s="220"/>
      <c r="J155" s="220"/>
      <c r="K155" s="220"/>
      <c r="L155" s="323"/>
      <c r="M155" s="220"/>
      <c r="N155" s="220"/>
      <c r="O155" s="220"/>
      <c r="P155" s="220"/>
      <c r="Q155" s="220"/>
      <c r="R155" s="220"/>
      <c r="S155" s="220"/>
      <c r="T155" s="220"/>
      <c r="U155" s="220"/>
      <c r="V155" s="220"/>
      <c r="W155" s="263"/>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row>
    <row r="156" spans="3:47" ht="19.5">
      <c r="C156" s="313"/>
      <c r="D156" s="220"/>
      <c r="E156" s="220"/>
      <c r="F156" s="220"/>
      <c r="G156" s="220"/>
      <c r="H156" s="220"/>
      <c r="I156" s="220"/>
      <c r="J156" s="220"/>
      <c r="K156" s="220"/>
      <c r="L156" s="323"/>
      <c r="M156" s="220"/>
      <c r="N156" s="220"/>
      <c r="O156" s="220"/>
      <c r="P156" s="220"/>
      <c r="Q156" s="220"/>
      <c r="R156" s="220"/>
      <c r="S156" s="220"/>
      <c r="T156" s="220"/>
      <c r="U156" s="220"/>
      <c r="V156" s="220"/>
      <c r="W156" s="263"/>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row>
    <row r="157" spans="3:47" ht="19.5">
      <c r="C157" s="313"/>
      <c r="D157" s="220"/>
      <c r="E157" s="220"/>
      <c r="F157" s="220"/>
      <c r="G157" s="220"/>
      <c r="H157" s="220"/>
      <c r="I157" s="220"/>
      <c r="J157" s="220"/>
      <c r="K157" s="220"/>
      <c r="L157" s="323"/>
      <c r="M157" s="220"/>
      <c r="N157" s="220"/>
      <c r="O157" s="220"/>
      <c r="P157" s="220"/>
      <c r="Q157" s="220"/>
      <c r="R157" s="220"/>
      <c r="S157" s="220"/>
      <c r="T157" s="220"/>
      <c r="U157" s="220"/>
      <c r="V157" s="220"/>
      <c r="W157" s="263"/>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row>
    <row r="158" spans="3:47" ht="19.5">
      <c r="C158" s="313"/>
      <c r="D158" s="220"/>
      <c r="E158" s="220"/>
      <c r="F158" s="220"/>
      <c r="G158" s="220"/>
      <c r="H158" s="220"/>
      <c r="I158" s="220"/>
      <c r="J158" s="220"/>
      <c r="K158" s="220"/>
      <c r="L158" s="323"/>
      <c r="M158" s="220"/>
      <c r="N158" s="220"/>
      <c r="O158" s="220"/>
      <c r="P158" s="220"/>
      <c r="Q158" s="220"/>
      <c r="R158" s="220"/>
      <c r="S158" s="220"/>
      <c r="T158" s="220"/>
      <c r="U158" s="220"/>
      <c r="V158" s="220"/>
      <c r="W158" s="263"/>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row>
    <row r="159" spans="3:47" ht="19.5">
      <c r="C159" s="313"/>
      <c r="D159" s="220"/>
      <c r="E159" s="220"/>
      <c r="F159" s="220"/>
      <c r="G159" s="220"/>
      <c r="H159" s="220"/>
      <c r="I159" s="220"/>
      <c r="J159" s="220"/>
      <c r="K159" s="220"/>
      <c r="L159" s="323"/>
      <c r="M159" s="220"/>
      <c r="N159" s="220"/>
      <c r="O159" s="220"/>
      <c r="P159" s="220"/>
      <c r="Q159" s="220"/>
      <c r="R159" s="220"/>
      <c r="S159" s="220"/>
      <c r="T159" s="220"/>
      <c r="U159" s="220"/>
      <c r="V159" s="220"/>
      <c r="W159" s="263"/>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row>
    <row r="160" spans="3:47" ht="19.5">
      <c r="C160" s="313"/>
      <c r="D160" s="220"/>
      <c r="E160" s="220"/>
      <c r="F160" s="220"/>
      <c r="G160" s="220"/>
      <c r="H160" s="220"/>
      <c r="I160" s="220"/>
      <c r="J160" s="220"/>
      <c r="K160" s="220"/>
      <c r="L160" s="323"/>
      <c r="M160" s="220"/>
      <c r="N160" s="220"/>
      <c r="O160" s="220"/>
      <c r="P160" s="220"/>
      <c r="Q160" s="220"/>
      <c r="R160" s="220"/>
      <c r="S160" s="220"/>
      <c r="T160" s="220"/>
      <c r="U160" s="220"/>
      <c r="V160" s="220"/>
      <c r="W160" s="263"/>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row>
    <row r="161" spans="3:47" ht="19.5">
      <c r="C161" s="313"/>
      <c r="D161" s="220"/>
      <c r="E161" s="220"/>
      <c r="F161" s="220"/>
      <c r="G161" s="220"/>
      <c r="H161" s="220"/>
      <c r="I161" s="220"/>
      <c r="J161" s="220"/>
      <c r="K161" s="220"/>
      <c r="L161" s="323"/>
      <c r="M161" s="220"/>
      <c r="N161" s="220"/>
      <c r="O161" s="220"/>
      <c r="P161" s="220"/>
      <c r="Q161" s="220"/>
      <c r="R161" s="220"/>
      <c r="S161" s="220"/>
      <c r="T161" s="220"/>
      <c r="U161" s="220"/>
      <c r="V161" s="220"/>
      <c r="W161" s="263"/>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row>
    <row r="162" spans="3:47" ht="19.5">
      <c r="C162" s="313"/>
      <c r="D162" s="220"/>
      <c r="E162" s="220"/>
      <c r="F162" s="220"/>
      <c r="G162" s="220"/>
      <c r="H162" s="220"/>
      <c r="I162" s="220"/>
      <c r="J162" s="220"/>
      <c r="K162" s="220"/>
      <c r="L162" s="323"/>
      <c r="M162" s="220"/>
      <c r="N162" s="220"/>
      <c r="O162" s="220"/>
      <c r="P162" s="220"/>
      <c r="Q162" s="220"/>
      <c r="R162" s="220"/>
      <c r="S162" s="220"/>
      <c r="T162" s="220"/>
      <c r="U162" s="220"/>
      <c r="V162" s="220"/>
      <c r="W162" s="263"/>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row>
    <row r="163" spans="3:47" ht="19.5">
      <c r="C163" s="313"/>
      <c r="D163" s="220"/>
      <c r="E163" s="220"/>
      <c r="F163" s="220"/>
      <c r="G163" s="220"/>
      <c r="H163" s="220"/>
      <c r="I163" s="220"/>
      <c r="J163" s="220"/>
      <c r="K163" s="220"/>
      <c r="L163" s="323"/>
      <c r="M163" s="220"/>
      <c r="N163" s="220"/>
      <c r="O163" s="220"/>
      <c r="P163" s="220"/>
      <c r="Q163" s="220"/>
      <c r="R163" s="220"/>
      <c r="S163" s="220"/>
      <c r="T163" s="220"/>
      <c r="U163" s="220"/>
      <c r="V163" s="220"/>
      <c r="W163" s="263"/>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row>
    <row r="164" spans="3:47" ht="19.5">
      <c r="C164" s="313"/>
      <c r="D164" s="220"/>
      <c r="E164" s="220"/>
      <c r="F164" s="220"/>
      <c r="G164" s="220"/>
      <c r="H164" s="220"/>
      <c r="I164" s="220"/>
      <c r="J164" s="220"/>
      <c r="K164" s="220"/>
      <c r="L164" s="323"/>
      <c r="M164" s="220"/>
      <c r="N164" s="220"/>
      <c r="O164" s="220"/>
      <c r="P164" s="220"/>
      <c r="Q164" s="220"/>
      <c r="R164" s="220"/>
      <c r="S164" s="220"/>
      <c r="T164" s="220"/>
      <c r="U164" s="220"/>
      <c r="V164" s="220"/>
      <c r="W164" s="263"/>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row>
    <row r="165" spans="3:47" ht="19.5">
      <c r="C165" s="313"/>
      <c r="D165" s="220"/>
      <c r="E165" s="220"/>
      <c r="F165" s="220"/>
      <c r="G165" s="220"/>
      <c r="H165" s="220"/>
      <c r="I165" s="220"/>
      <c r="J165" s="220"/>
      <c r="K165" s="220"/>
      <c r="L165" s="323"/>
      <c r="M165" s="220"/>
      <c r="N165" s="220"/>
      <c r="O165" s="220"/>
      <c r="P165" s="220"/>
      <c r="Q165" s="220"/>
      <c r="R165" s="220"/>
      <c r="S165" s="220"/>
      <c r="T165" s="220"/>
      <c r="U165" s="220"/>
      <c r="V165" s="220"/>
      <c r="W165" s="263"/>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row>
  </sheetData>
  <mergeCells count="23">
    <mergeCell ref="A1:AK1"/>
    <mergeCell ref="A4:AK4"/>
    <mergeCell ref="AG6:AH6"/>
    <mergeCell ref="A19:A20"/>
    <mergeCell ref="B19:B20"/>
    <mergeCell ref="C19:C20"/>
    <mergeCell ref="D19:F19"/>
    <mergeCell ref="G19:I19"/>
    <mergeCell ref="J19:L19"/>
    <mergeCell ref="M19:O19"/>
    <mergeCell ref="AI19:AJ19"/>
    <mergeCell ref="AK19:AK20"/>
    <mergeCell ref="K137:L137"/>
    <mergeCell ref="A3:AK3"/>
    <mergeCell ref="A2:AK2"/>
    <mergeCell ref="S19:T19"/>
    <mergeCell ref="P19:R19"/>
    <mergeCell ref="U19:W19"/>
    <mergeCell ref="X19:Z19"/>
    <mergeCell ref="AA19:AC19"/>
    <mergeCell ref="AD19:AF19"/>
    <mergeCell ref="AG19:AH19"/>
    <mergeCell ref="AK22:AK59"/>
  </mergeCells>
  <pageMargins left="0.25" right="0.2" top="0.25" bottom="0.2" header="0.2" footer="0.3"/>
  <pageSetup scale="56" fitToHeight="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165"/>
  <sheetViews>
    <sheetView topLeftCell="A18" zoomScale="110" zoomScaleNormal="110" workbookViewId="0">
      <selection activeCell="P32" sqref="P32"/>
    </sheetView>
  </sheetViews>
  <sheetFormatPr defaultRowHeight="12.75"/>
  <cols>
    <col min="1" max="1" width="11.28515625" customWidth="1"/>
    <col min="2" max="2" width="33.85546875" customWidth="1"/>
    <col min="3" max="3" width="10.140625" style="314" customWidth="1"/>
    <col min="4" max="9" width="9.7109375" hidden="1" customWidth="1"/>
    <col min="10" max="11" width="9.7109375" customWidth="1"/>
    <col min="12" max="12" width="9.7109375" style="324" customWidth="1"/>
    <col min="13" max="20" width="9.7109375" customWidth="1"/>
    <col min="21" max="22" width="9.7109375" hidden="1" customWidth="1"/>
    <col min="23" max="23" width="9.7109375" style="71" hidden="1" customWidth="1"/>
    <col min="24" max="36" width="9.7109375" hidden="1" customWidth="1"/>
    <col min="37" max="37" width="17.7109375" customWidth="1"/>
  </cols>
  <sheetData>
    <row r="1" spans="1:37"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row>
    <row r="2" spans="1:37" s="220" customFormat="1" ht="32.450000000000003"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row>
    <row r="3" spans="1:37" s="220" customFormat="1" ht="32.450000000000003"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row>
    <row r="4" spans="1:37" s="220" customFormat="1" ht="27.6" customHeight="1">
      <c r="A4" s="613" t="s">
        <v>812</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row>
    <row r="5" spans="1:37" s="220" customFormat="1" ht="28.5">
      <c r="A5" s="265"/>
      <c r="B5" s="265"/>
      <c r="C5" s="265"/>
      <c r="D5" s="265"/>
      <c r="E5" s="265"/>
      <c r="F5" s="265"/>
      <c r="G5" s="265"/>
      <c r="H5" s="265"/>
      <c r="I5" s="265"/>
      <c r="J5" s="265"/>
      <c r="K5" s="265"/>
      <c r="L5" s="318"/>
      <c r="M5" s="265"/>
      <c r="N5" s="263"/>
      <c r="O5" s="263"/>
      <c r="P5" s="265"/>
      <c r="Q5" s="265"/>
      <c r="R5" s="264"/>
      <c r="S5" s="264"/>
      <c r="T5" s="264"/>
      <c r="U5" s="264"/>
      <c r="V5" s="264"/>
      <c r="W5" s="264"/>
      <c r="X5" s="264"/>
      <c r="Y5" s="264"/>
      <c r="Z5" s="264"/>
      <c r="AA5" s="264"/>
      <c r="AB5" s="264"/>
      <c r="AC5" s="264"/>
      <c r="AD5" s="264"/>
      <c r="AE5" s="264"/>
      <c r="AF5" s="264"/>
      <c r="AG5" s="265"/>
      <c r="AH5" s="265"/>
      <c r="AI5" s="265"/>
      <c r="AJ5" s="265"/>
      <c r="AK5" s="265"/>
    </row>
    <row r="6" spans="1:37" s="220" customFormat="1" ht="24" hidden="1">
      <c r="A6" s="266" t="s">
        <v>771</v>
      </c>
      <c r="B6" s="266"/>
      <c r="C6" s="309"/>
      <c r="D6" s="266"/>
      <c r="E6" s="266"/>
      <c r="F6" s="266"/>
      <c r="G6" s="266"/>
      <c r="H6" s="266"/>
      <c r="I6" s="266"/>
      <c r="J6" s="267"/>
      <c r="K6" s="267"/>
      <c r="L6" s="319"/>
      <c r="M6" s="263"/>
      <c r="N6" s="263"/>
      <c r="O6" s="263"/>
      <c r="P6" s="263"/>
      <c r="Q6" s="263"/>
      <c r="R6" s="263"/>
      <c r="S6" s="263"/>
      <c r="T6" s="263"/>
      <c r="U6" s="266" t="s">
        <v>785</v>
      </c>
      <c r="V6" s="263"/>
      <c r="W6" s="267"/>
      <c r="X6" s="268">
        <f>'एकिकृत बिवरण'!$J$13/100000-331.31</f>
        <v>600.97694000000001</v>
      </c>
      <c r="Y6" s="269"/>
      <c r="Z6" s="270">
        <v>331.31</v>
      </c>
      <c r="AA6" s="270"/>
      <c r="AB6" s="270"/>
      <c r="AC6" s="270"/>
      <c r="AD6" s="270"/>
      <c r="AE6" s="270"/>
      <c r="AF6" s="270"/>
      <c r="AG6" s="614">
        <f>X6+Z6</f>
        <v>932.28693999999996</v>
      </c>
      <c r="AH6" s="614"/>
      <c r="AI6" s="266"/>
      <c r="AJ6" s="266"/>
    </row>
    <row r="7" spans="1:37" s="220" customFormat="1" ht="24" hidden="1">
      <c r="A7" s="271" t="s">
        <v>772</v>
      </c>
      <c r="B7" s="266"/>
      <c r="C7" s="309"/>
      <c r="D7" s="266"/>
      <c r="E7" s="266"/>
      <c r="F7" s="266"/>
      <c r="G7" s="266"/>
      <c r="H7" s="266"/>
      <c r="I7" s="266"/>
      <c r="J7" s="267"/>
      <c r="K7" s="267"/>
      <c r="L7" s="319"/>
      <c r="M7" s="263"/>
      <c r="N7" s="263"/>
      <c r="O7" s="263"/>
      <c r="P7" s="267"/>
      <c r="Q7" s="267"/>
      <c r="R7" s="267"/>
      <c r="S7" s="267"/>
      <c r="T7" s="267"/>
      <c r="U7" s="273" t="s">
        <v>779</v>
      </c>
      <c r="V7" s="267"/>
      <c r="W7" s="267"/>
      <c r="X7" s="267"/>
      <c r="Y7" s="267"/>
      <c r="Z7" s="266"/>
      <c r="AA7" s="266"/>
      <c r="AB7" s="266"/>
      <c r="AC7" s="266"/>
      <c r="AD7" s="266"/>
      <c r="AE7" s="266"/>
      <c r="AF7" s="266"/>
      <c r="AG7" s="266"/>
      <c r="AH7" s="266"/>
      <c r="AI7" s="266"/>
      <c r="AJ7" s="266"/>
    </row>
    <row r="8" spans="1:37" s="220" customFormat="1" ht="24" hidden="1">
      <c r="A8" s="266" t="s">
        <v>773</v>
      </c>
      <c r="B8" s="266"/>
      <c r="C8" s="309"/>
      <c r="D8" s="266"/>
      <c r="E8" s="266"/>
      <c r="F8" s="266"/>
      <c r="G8" s="266"/>
      <c r="H8" s="266"/>
      <c r="I8" s="266"/>
      <c r="J8" s="267"/>
      <c r="K8" s="267"/>
      <c r="L8" s="319"/>
      <c r="M8" s="263"/>
      <c r="N8" s="263"/>
      <c r="O8" s="263"/>
      <c r="P8" s="263"/>
      <c r="Q8" s="263"/>
      <c r="U8" s="267" t="s">
        <v>786</v>
      </c>
      <c r="V8" s="263"/>
      <c r="W8" s="263"/>
      <c r="X8" s="267"/>
      <c r="Y8" s="267"/>
      <c r="Z8" s="266"/>
      <c r="AA8" s="266"/>
      <c r="AB8" s="266"/>
      <c r="AC8" s="266"/>
      <c r="AD8" s="266"/>
      <c r="AE8" s="266"/>
      <c r="AF8" s="266"/>
      <c r="AG8" s="266"/>
      <c r="AH8" s="266"/>
      <c r="AI8" s="266"/>
      <c r="AJ8" s="266"/>
    </row>
    <row r="9" spans="1:37" s="220" customFormat="1" ht="24" hidden="1">
      <c r="A9" s="266" t="s">
        <v>774</v>
      </c>
      <c r="B9" s="266"/>
      <c r="C9" s="309"/>
      <c r="D9" s="266"/>
      <c r="E9" s="266"/>
      <c r="F9" s="266"/>
      <c r="G9" s="266"/>
      <c r="H9" s="266"/>
      <c r="I9" s="266"/>
      <c r="J9" s="267"/>
      <c r="K9" s="267"/>
      <c r="L9" s="319"/>
      <c r="M9" s="263"/>
      <c r="N9" s="267"/>
      <c r="O9" s="263"/>
      <c r="P9" s="267"/>
      <c r="Q9" s="267"/>
      <c r="R9" s="267"/>
      <c r="S9" s="267"/>
      <c r="T9" s="267"/>
      <c r="U9" s="267"/>
      <c r="V9" s="267"/>
      <c r="W9" s="267"/>
      <c r="X9" s="267"/>
      <c r="Y9" s="267"/>
      <c r="Z9" s="266"/>
      <c r="AA9" s="266"/>
      <c r="AB9" s="266"/>
      <c r="AC9" s="266"/>
      <c r="AD9" s="266"/>
      <c r="AE9" s="266"/>
      <c r="AF9" s="266"/>
      <c r="AG9" s="266"/>
      <c r="AH9" s="266"/>
      <c r="AI9" s="266"/>
      <c r="AJ9" s="266"/>
    </row>
    <row r="10" spans="1:37" s="220" customFormat="1" ht="24" hidden="1">
      <c r="A10" s="266" t="s">
        <v>775</v>
      </c>
      <c r="B10" s="266"/>
      <c r="C10" s="309"/>
      <c r="D10" s="266"/>
      <c r="E10" s="266"/>
      <c r="F10" s="266"/>
      <c r="G10" s="266"/>
      <c r="H10" s="266"/>
      <c r="I10" s="266"/>
      <c r="J10" s="267"/>
      <c r="K10" s="267"/>
      <c r="L10" s="319"/>
      <c r="M10" s="263"/>
      <c r="N10" s="263"/>
      <c r="O10" s="263"/>
      <c r="P10" s="263"/>
      <c r="Q10" s="263"/>
      <c r="R10" s="267"/>
      <c r="S10" s="267"/>
      <c r="T10" s="267"/>
      <c r="V10" s="267" t="s">
        <v>793</v>
      </c>
      <c r="X10" s="267"/>
      <c r="Y10" s="267"/>
      <c r="Z10" s="266"/>
      <c r="AA10" s="266"/>
      <c r="AB10" s="266"/>
      <c r="AC10" s="266"/>
      <c r="AD10" s="266"/>
      <c r="AE10" s="266"/>
      <c r="AF10" s="266"/>
      <c r="AG10" s="266"/>
      <c r="AH10" s="266"/>
      <c r="AI10" s="266"/>
      <c r="AJ10" s="266"/>
    </row>
    <row r="11" spans="1:37" s="220" customFormat="1" ht="24" hidden="1">
      <c r="A11" s="266" t="s">
        <v>776</v>
      </c>
      <c r="B11" s="266"/>
      <c r="C11" s="309"/>
      <c r="D11" s="266"/>
      <c r="E11" s="266"/>
      <c r="F11" s="266"/>
      <c r="G11" s="266"/>
      <c r="H11" s="266"/>
      <c r="I11" s="266"/>
      <c r="J11" s="267"/>
      <c r="K11" s="267"/>
      <c r="L11" s="319"/>
      <c r="M11" s="263"/>
      <c r="N11" s="267"/>
      <c r="O11" s="263"/>
      <c r="P11" s="267"/>
      <c r="Q11" s="267"/>
      <c r="R11" s="267"/>
      <c r="S11" s="267"/>
      <c r="T11" s="267"/>
      <c r="U11" s="267"/>
      <c r="V11" s="267"/>
      <c r="W11" s="267"/>
      <c r="X11" s="267"/>
      <c r="Y11" s="267"/>
      <c r="Z11" s="266"/>
      <c r="AA11" s="266"/>
      <c r="AB11" s="266"/>
      <c r="AC11" s="266"/>
      <c r="AD11" s="266"/>
      <c r="AE11" s="266"/>
      <c r="AF11" s="266"/>
      <c r="AG11" s="266"/>
      <c r="AH11" s="266"/>
      <c r="AI11" s="266"/>
      <c r="AJ11" s="266"/>
    </row>
    <row r="12" spans="1:37" s="220" customFormat="1" ht="24" hidden="1">
      <c r="A12" s="266" t="s">
        <v>777</v>
      </c>
      <c r="B12" s="266"/>
      <c r="C12" s="309"/>
      <c r="D12" s="266"/>
      <c r="E12" s="266"/>
      <c r="F12" s="266"/>
      <c r="G12" s="266"/>
      <c r="H12" s="266"/>
      <c r="I12" s="266"/>
      <c r="J12" s="267"/>
      <c r="K12" s="267"/>
      <c r="L12" s="319"/>
      <c r="M12" s="263"/>
      <c r="N12" s="263"/>
      <c r="O12" s="263"/>
      <c r="P12" s="263"/>
      <c r="Q12" s="263"/>
      <c r="R12" s="267"/>
      <c r="S12" s="267"/>
      <c r="T12" s="267"/>
      <c r="U12" s="267" t="s">
        <v>787</v>
      </c>
      <c r="V12" s="263"/>
      <c r="W12" s="267"/>
      <c r="X12" s="267"/>
      <c r="Y12" s="267"/>
      <c r="Z12" s="266"/>
      <c r="AA12" s="266"/>
      <c r="AB12" s="266"/>
      <c r="AC12" s="266"/>
      <c r="AD12" s="266"/>
      <c r="AE12" s="266"/>
      <c r="AF12" s="266"/>
      <c r="AG12" s="266"/>
      <c r="AH12" s="266"/>
      <c r="AI12" s="266"/>
      <c r="AJ12" s="266"/>
    </row>
    <row r="13" spans="1:37" s="220" customFormat="1" ht="24" hidden="1">
      <c r="A13" s="266" t="s">
        <v>778</v>
      </c>
      <c r="B13" s="266"/>
      <c r="C13" s="310"/>
      <c r="D13" s="272"/>
      <c r="E13" s="272"/>
      <c r="F13" s="272"/>
      <c r="G13" s="272"/>
      <c r="H13" s="272"/>
      <c r="I13" s="272"/>
      <c r="J13" s="267"/>
      <c r="K13" s="267"/>
      <c r="L13" s="319"/>
      <c r="M13" s="263"/>
      <c r="N13" s="263"/>
      <c r="O13" s="263"/>
      <c r="P13" s="263"/>
      <c r="Q13" s="263"/>
      <c r="R13" s="267"/>
      <c r="S13" s="267"/>
      <c r="T13" s="267"/>
      <c r="U13" s="267" t="s">
        <v>788</v>
      </c>
      <c r="V13" s="263"/>
      <c r="W13" s="267"/>
      <c r="X13" s="267"/>
      <c r="Y13" s="267"/>
      <c r="Z13" s="266"/>
      <c r="AA13" s="266"/>
      <c r="AB13" s="266"/>
      <c r="AC13" s="266"/>
      <c r="AD13" s="266"/>
      <c r="AE13" s="266"/>
      <c r="AF13" s="266"/>
      <c r="AG13" s="266"/>
      <c r="AH13" s="266"/>
      <c r="AI13" s="266"/>
      <c r="AJ13" s="266"/>
    </row>
    <row r="14" spans="1:37" s="220" customFormat="1" ht="24" hidden="1">
      <c r="A14" s="273" t="s">
        <v>779</v>
      </c>
      <c r="B14" s="266"/>
      <c r="C14" s="310"/>
      <c r="D14" s="272"/>
      <c r="E14" s="272"/>
      <c r="F14" s="272"/>
      <c r="G14" s="272"/>
      <c r="H14" s="272"/>
      <c r="I14" s="272"/>
      <c r="J14" s="267"/>
      <c r="K14" s="267"/>
      <c r="L14" s="319"/>
      <c r="M14" s="263"/>
      <c r="N14" s="263"/>
      <c r="O14" s="263"/>
      <c r="P14" s="267"/>
      <c r="Q14" s="267"/>
      <c r="R14" s="267"/>
      <c r="S14" s="267"/>
      <c r="T14" s="267"/>
      <c r="U14" s="267" t="s">
        <v>789</v>
      </c>
      <c r="V14" s="267"/>
      <c r="W14" s="267"/>
      <c r="X14" s="267"/>
      <c r="Y14" s="267"/>
      <c r="Z14" s="266"/>
      <c r="AA14" s="266"/>
      <c r="AB14" s="266"/>
      <c r="AC14" s="266"/>
      <c r="AD14" s="266"/>
      <c r="AE14" s="266"/>
      <c r="AF14" s="266"/>
      <c r="AG14" s="266"/>
      <c r="AH14" s="266"/>
      <c r="AI14" s="266"/>
      <c r="AK14" s="274" t="e">
        <f>X6/#REF!*100</f>
        <v>#REF!</v>
      </c>
    </row>
    <row r="15" spans="1:37" s="220" customFormat="1" ht="24" hidden="1">
      <c r="A15" s="266" t="s">
        <v>780</v>
      </c>
      <c r="B15" s="266"/>
      <c r="C15" s="309"/>
      <c r="D15" s="266"/>
      <c r="E15" s="266"/>
      <c r="F15" s="266"/>
      <c r="G15" s="266"/>
      <c r="H15" s="266"/>
      <c r="I15" s="266"/>
      <c r="J15" s="267"/>
      <c r="K15" s="267"/>
      <c r="L15" s="319"/>
      <c r="M15" s="263"/>
      <c r="N15" s="263"/>
      <c r="O15" s="263"/>
      <c r="P15" s="267"/>
      <c r="Q15" s="267"/>
      <c r="R15" s="267"/>
      <c r="S15" s="267"/>
      <c r="T15" s="267"/>
      <c r="U15" s="267" t="s">
        <v>790</v>
      </c>
      <c r="V15" s="267"/>
      <c r="W15" s="267"/>
      <c r="X15" s="267"/>
      <c r="Y15" s="267"/>
      <c r="Z15" s="266"/>
      <c r="AA15" s="266"/>
      <c r="AB15" s="266"/>
      <c r="AC15" s="266"/>
      <c r="AD15" s="266"/>
      <c r="AE15" s="266"/>
      <c r="AF15" s="266"/>
      <c r="AG15" s="266"/>
      <c r="AH15" s="266"/>
      <c r="AI15" s="266"/>
      <c r="AK15" s="275">
        <f>AG6/L136*100</f>
        <v>66.119641134751788</v>
      </c>
    </row>
    <row r="16" spans="1:37" s="220" customFormat="1" ht="24" hidden="1">
      <c r="A16" s="266" t="s">
        <v>781</v>
      </c>
      <c r="B16" s="266"/>
      <c r="C16" s="309"/>
      <c r="D16" s="266"/>
      <c r="E16" s="266"/>
      <c r="F16" s="266"/>
      <c r="G16" s="266"/>
      <c r="H16" s="266"/>
      <c r="I16" s="266"/>
      <c r="J16" s="267"/>
      <c r="K16" s="267"/>
      <c r="L16" s="319"/>
      <c r="M16" s="263"/>
      <c r="N16" s="263"/>
      <c r="O16" s="263"/>
      <c r="P16" s="267"/>
      <c r="Q16" s="267"/>
      <c r="R16" s="267"/>
      <c r="S16" s="267"/>
      <c r="T16" s="267"/>
      <c r="U16" s="267" t="s">
        <v>791</v>
      </c>
      <c r="V16" s="267"/>
      <c r="W16" s="267"/>
      <c r="X16" s="267"/>
      <c r="Y16" s="267"/>
      <c r="Z16" s="266"/>
      <c r="AA16" s="266"/>
      <c r="AB16" s="266"/>
      <c r="AC16" s="266"/>
      <c r="AD16" s="266"/>
      <c r="AE16" s="266"/>
      <c r="AF16" s="266"/>
      <c r="AG16" s="266"/>
      <c r="AH16" s="266"/>
      <c r="AI16" s="266"/>
      <c r="AJ16" s="266"/>
      <c r="AK16" s="266"/>
    </row>
    <row r="17" spans="1:47" s="220" customFormat="1" ht="24" hidden="1">
      <c r="A17" s="266" t="s">
        <v>782</v>
      </c>
      <c r="B17" s="266"/>
      <c r="C17" s="309"/>
      <c r="D17" s="266"/>
      <c r="E17" s="266"/>
      <c r="F17" s="266"/>
      <c r="G17" s="266"/>
      <c r="H17" s="266"/>
      <c r="I17" s="266"/>
      <c r="J17" s="267"/>
      <c r="K17" s="267"/>
      <c r="L17" s="319"/>
      <c r="M17" s="263"/>
      <c r="N17" s="263"/>
      <c r="O17" s="263"/>
      <c r="P17" s="267"/>
      <c r="Q17" s="267"/>
      <c r="R17" s="267"/>
      <c r="S17" s="267"/>
      <c r="T17" s="267"/>
      <c r="U17" s="267" t="s">
        <v>792</v>
      </c>
      <c r="V17" s="267"/>
      <c r="W17" s="267"/>
      <c r="X17" s="267"/>
      <c r="Y17" s="267"/>
      <c r="Z17" s="266"/>
      <c r="AA17" s="266"/>
      <c r="AB17" s="266"/>
      <c r="AC17" s="266"/>
      <c r="AD17" s="266"/>
      <c r="AE17" s="266"/>
      <c r="AF17" s="266"/>
      <c r="AG17" s="266"/>
      <c r="AH17" s="266"/>
      <c r="AI17" s="266"/>
      <c r="AK17" s="276">
        <f>AH136</f>
        <v>2.9621578479091433</v>
      </c>
    </row>
    <row r="18" spans="1:47" s="220" customFormat="1" ht="24">
      <c r="A18" s="266" t="s">
        <v>806</v>
      </c>
      <c r="B18" s="266"/>
      <c r="C18" s="309"/>
      <c r="D18" s="266"/>
      <c r="E18" s="266"/>
      <c r="F18" s="266"/>
      <c r="G18" s="266"/>
      <c r="H18" s="266"/>
      <c r="I18" s="266"/>
      <c r="J18" s="267"/>
      <c r="K18" s="267"/>
      <c r="L18" s="319"/>
      <c r="M18" s="267"/>
      <c r="N18" s="267"/>
      <c r="O18" s="267"/>
      <c r="P18" s="267"/>
      <c r="Q18" s="267"/>
      <c r="R18" s="267"/>
      <c r="S18" s="344" t="s">
        <v>811</v>
      </c>
      <c r="T18" s="345">
        <f>S135</f>
        <v>153.55000000000001</v>
      </c>
      <c r="U18" s="267"/>
      <c r="V18" s="267"/>
      <c r="W18" s="267"/>
      <c r="X18" s="267"/>
      <c r="Y18" s="267"/>
      <c r="Z18" s="266"/>
      <c r="AA18" s="266"/>
      <c r="AB18" s="266"/>
      <c r="AC18" s="266"/>
      <c r="AD18" s="266"/>
      <c r="AE18" s="266"/>
      <c r="AF18" s="266"/>
      <c r="AG18" s="266"/>
      <c r="AH18" s="266"/>
      <c r="AI18" s="330" t="s">
        <v>802</v>
      </c>
      <c r="AJ18" s="266"/>
    </row>
    <row r="19" spans="1:47" s="220" customFormat="1" ht="45.6" customHeight="1">
      <c r="A19" s="621" t="s">
        <v>752</v>
      </c>
      <c r="B19" s="621" t="s">
        <v>753</v>
      </c>
      <c r="C19" s="611" t="s">
        <v>754</v>
      </c>
      <c r="D19" s="611" t="s">
        <v>755</v>
      </c>
      <c r="E19" s="611"/>
      <c r="F19" s="611"/>
      <c r="G19" s="611" t="s">
        <v>759</v>
      </c>
      <c r="H19" s="611"/>
      <c r="I19" s="611"/>
      <c r="J19" s="621" t="s">
        <v>760</v>
      </c>
      <c r="K19" s="621"/>
      <c r="L19" s="621"/>
      <c r="M19" s="621" t="s">
        <v>764</v>
      </c>
      <c r="N19" s="621"/>
      <c r="O19" s="621"/>
      <c r="P19" s="611" t="s">
        <v>765</v>
      </c>
      <c r="Q19" s="611"/>
      <c r="R19" s="611"/>
      <c r="S19" s="611" t="s">
        <v>810</v>
      </c>
      <c r="T19" s="611"/>
      <c r="U19" s="621" t="s">
        <v>764</v>
      </c>
      <c r="V19" s="621"/>
      <c r="W19" s="621"/>
      <c r="X19" s="611" t="s">
        <v>765</v>
      </c>
      <c r="Y19" s="611"/>
      <c r="Z19" s="611"/>
      <c r="AA19" s="611" t="s">
        <v>767</v>
      </c>
      <c r="AB19" s="611"/>
      <c r="AC19" s="611"/>
      <c r="AD19" s="611" t="s">
        <v>766</v>
      </c>
      <c r="AE19" s="611"/>
      <c r="AF19" s="611"/>
      <c r="AG19" s="618" t="s">
        <v>768</v>
      </c>
      <c r="AH19" s="618"/>
      <c r="AI19" s="618" t="s">
        <v>769</v>
      </c>
      <c r="AJ19" s="618"/>
      <c r="AK19" s="621" t="s">
        <v>497</v>
      </c>
    </row>
    <row r="20" spans="1:47" s="220" customFormat="1" ht="28.5" customHeight="1">
      <c r="A20" s="621"/>
      <c r="B20" s="621"/>
      <c r="C20" s="611"/>
      <c r="D20" s="349" t="s">
        <v>761</v>
      </c>
      <c r="E20" s="349" t="s">
        <v>757</v>
      </c>
      <c r="F20" s="349" t="s">
        <v>758</v>
      </c>
      <c r="G20" s="349" t="s">
        <v>761</v>
      </c>
      <c r="H20" s="349" t="s">
        <v>757</v>
      </c>
      <c r="I20" s="349" t="s">
        <v>758</v>
      </c>
      <c r="J20" s="349" t="s">
        <v>761</v>
      </c>
      <c r="K20" s="349" t="s">
        <v>757</v>
      </c>
      <c r="L20" s="335" t="s">
        <v>758</v>
      </c>
      <c r="M20" s="349" t="s">
        <v>761</v>
      </c>
      <c r="N20" s="349" t="s">
        <v>757</v>
      </c>
      <c r="O20" s="349" t="s">
        <v>758</v>
      </c>
      <c r="P20" s="349" t="s">
        <v>761</v>
      </c>
      <c r="Q20" s="349" t="s">
        <v>757</v>
      </c>
      <c r="R20" s="349" t="s">
        <v>805</v>
      </c>
      <c r="S20" s="349" t="s">
        <v>804</v>
      </c>
      <c r="T20" s="349" t="s">
        <v>805</v>
      </c>
      <c r="U20" s="349" t="s">
        <v>761</v>
      </c>
      <c r="V20" s="349" t="s">
        <v>757</v>
      </c>
      <c r="W20" s="349" t="s">
        <v>758</v>
      </c>
      <c r="X20" s="349" t="s">
        <v>761</v>
      </c>
      <c r="Y20" s="349" t="s">
        <v>757</v>
      </c>
      <c r="Z20" s="349" t="s">
        <v>758</v>
      </c>
      <c r="AA20" s="349"/>
      <c r="AB20" s="349"/>
      <c r="AC20" s="349"/>
      <c r="AD20" s="349"/>
      <c r="AE20" s="349"/>
      <c r="AF20" s="349"/>
      <c r="AG20" s="336"/>
      <c r="AH20" s="336"/>
      <c r="AI20" s="348"/>
      <c r="AJ20" s="337"/>
      <c r="AK20" s="621"/>
    </row>
    <row r="21" spans="1:47" s="220" customFormat="1" ht="19.5">
      <c r="A21" s="278">
        <v>1</v>
      </c>
      <c r="B21" s="278">
        <v>2</v>
      </c>
      <c r="C21" s="278">
        <v>3</v>
      </c>
      <c r="D21" s="278">
        <v>4</v>
      </c>
      <c r="E21" s="278">
        <v>5</v>
      </c>
      <c r="F21" s="278">
        <v>6</v>
      </c>
      <c r="G21" s="278">
        <v>7</v>
      </c>
      <c r="H21" s="278">
        <v>8</v>
      </c>
      <c r="I21" s="278">
        <v>9</v>
      </c>
      <c r="J21" s="347">
        <v>4</v>
      </c>
      <c r="K21" s="278">
        <v>5</v>
      </c>
      <c r="L21" s="278">
        <v>6</v>
      </c>
      <c r="M21" s="278">
        <v>7</v>
      </c>
      <c r="N21" s="278">
        <v>8</v>
      </c>
      <c r="O21" s="278">
        <v>9</v>
      </c>
      <c r="P21" s="278">
        <v>10</v>
      </c>
      <c r="Q21" s="336">
        <v>11</v>
      </c>
      <c r="R21" s="347">
        <v>12</v>
      </c>
      <c r="S21" s="278">
        <v>13</v>
      </c>
      <c r="T21" s="278">
        <v>14</v>
      </c>
      <c r="U21" s="278">
        <v>13</v>
      </c>
      <c r="V21" s="278">
        <v>13.5</v>
      </c>
      <c r="W21" s="278">
        <v>14</v>
      </c>
      <c r="X21" s="278">
        <v>14.5</v>
      </c>
      <c r="Y21" s="278">
        <v>15</v>
      </c>
      <c r="Z21" s="347">
        <v>15.5</v>
      </c>
      <c r="AA21" s="278">
        <v>16</v>
      </c>
      <c r="AB21" s="278">
        <v>16.5</v>
      </c>
      <c r="AC21" s="278">
        <v>17</v>
      </c>
      <c r="AD21" s="278">
        <v>17.5</v>
      </c>
      <c r="AE21" s="278">
        <v>18</v>
      </c>
      <c r="AF21" s="278">
        <v>18.5</v>
      </c>
      <c r="AG21" s="278">
        <v>19</v>
      </c>
      <c r="AH21" s="347">
        <v>19.5</v>
      </c>
      <c r="AI21" s="278">
        <v>20</v>
      </c>
      <c r="AJ21" s="278">
        <v>20.5</v>
      </c>
      <c r="AK21" s="278">
        <v>15</v>
      </c>
    </row>
    <row r="22" spans="1:47" s="350" customFormat="1" ht="19.5">
      <c r="A22" s="301" t="s">
        <v>511</v>
      </c>
      <c r="B22" s="301" t="s">
        <v>602</v>
      </c>
      <c r="C22" s="282" t="s">
        <v>794</v>
      </c>
      <c r="D22" s="282"/>
      <c r="E22" s="282"/>
      <c r="F22" s="282"/>
      <c r="G22" s="282"/>
      <c r="H22" s="282"/>
      <c r="I22" s="282"/>
      <c r="J22" s="282">
        <v>1</v>
      </c>
      <c r="K22" s="329">
        <f>(L22/1528.56)*100</f>
        <v>2.9439472444653796</v>
      </c>
      <c r="L22" s="329">
        <v>45</v>
      </c>
      <c r="M22" s="282">
        <f>1+0</f>
        <v>1</v>
      </c>
      <c r="N22" s="338">
        <f>O22/1528.56*100</f>
        <v>2.9439472444653796</v>
      </c>
      <c r="O22" s="329">
        <f>45+0</f>
        <v>45</v>
      </c>
      <c r="P22" s="282">
        <v>0.1</v>
      </c>
      <c r="Q22" s="333">
        <f>IF(M22=0,P22/J22*K22,P22/M22*N22)</f>
        <v>0.29439472444653797</v>
      </c>
      <c r="R22" s="282">
        <f>ROUND(IF(N22=0,Q22/K22*100,Q22/N22*100),2)</f>
        <v>10</v>
      </c>
      <c r="S22" s="282">
        <v>0</v>
      </c>
      <c r="T22" s="282">
        <f>IFERROR(S22/O22*100,0)</f>
        <v>0</v>
      </c>
      <c r="U22" s="282"/>
      <c r="V22" s="282"/>
      <c r="W22" s="282"/>
      <c r="X22" s="282"/>
      <c r="Y22" s="282"/>
      <c r="Z22" s="282"/>
      <c r="AA22" s="282"/>
      <c r="AB22" s="282"/>
      <c r="AC22" s="282"/>
      <c r="AD22" s="282"/>
      <c r="AE22" s="282"/>
      <c r="AF22" s="282"/>
      <c r="AG22" s="282"/>
      <c r="AH22" s="282"/>
      <c r="AI22" s="282"/>
      <c r="AJ22" s="282"/>
      <c r="AK22" s="629" t="s">
        <v>813</v>
      </c>
      <c r="AL22" s="263"/>
      <c r="AM22" s="263"/>
      <c r="AN22" s="263"/>
      <c r="AO22" s="263"/>
      <c r="AP22" s="263"/>
      <c r="AQ22" s="263"/>
      <c r="AR22" s="263"/>
      <c r="AS22" s="263"/>
      <c r="AT22" s="263"/>
      <c r="AU22" s="263"/>
    </row>
    <row r="23" spans="1:47" s="350" customFormat="1" ht="39">
      <c r="A23" s="304" t="s">
        <v>517</v>
      </c>
      <c r="B23" s="304" t="s">
        <v>603</v>
      </c>
      <c r="C23" s="284" t="s">
        <v>795</v>
      </c>
      <c r="D23" s="284"/>
      <c r="E23" s="284"/>
      <c r="F23" s="284"/>
      <c r="G23" s="284"/>
      <c r="H23" s="284"/>
      <c r="I23" s="284"/>
      <c r="J23" s="284">
        <v>20</v>
      </c>
      <c r="K23" s="287">
        <f t="shared" ref="K23:K86" si="0">(L23/1528.56)*100</f>
        <v>9.813157481551265</v>
      </c>
      <c r="L23" s="287">
        <v>150</v>
      </c>
      <c r="M23" s="284">
        <f>0+10</f>
        <v>10</v>
      </c>
      <c r="N23" s="287">
        <f t="shared" ref="N23:N86" si="1">O23/1528.56*100</f>
        <v>4.9065787407756325</v>
      </c>
      <c r="O23" s="287">
        <f>75+0</f>
        <v>75</v>
      </c>
      <c r="P23" s="284">
        <v>8</v>
      </c>
      <c r="Q23" s="287">
        <f t="shared" ref="Q23:Q86" si="2">IF(M23=0,P23/J23*K23,P23/M23*N23)</f>
        <v>3.9252629926205063</v>
      </c>
      <c r="R23" s="284">
        <f t="shared" ref="R23:R86" si="3">ROUND(IF(N23=0,Q23/K23*100,Q23/N23*100),2)</f>
        <v>80</v>
      </c>
      <c r="S23" s="284">
        <v>7.14</v>
      </c>
      <c r="T23" s="284">
        <f t="shared" ref="T23:T86" si="4">IFERROR(S23/O23*100,0)</f>
        <v>9.52</v>
      </c>
      <c r="U23" s="284"/>
      <c r="V23" s="284"/>
      <c r="W23" s="284"/>
      <c r="X23" s="284"/>
      <c r="Y23" s="284"/>
      <c r="Z23" s="284"/>
      <c r="AA23" s="284"/>
      <c r="AB23" s="284"/>
      <c r="AC23" s="284"/>
      <c r="AD23" s="284"/>
      <c r="AE23" s="284"/>
      <c r="AF23" s="284"/>
      <c r="AG23" s="284"/>
      <c r="AH23" s="284"/>
      <c r="AI23" s="284"/>
      <c r="AJ23" s="284"/>
      <c r="AK23" s="630"/>
      <c r="AL23" s="263"/>
      <c r="AM23" s="263"/>
      <c r="AN23" s="263"/>
      <c r="AO23" s="263"/>
      <c r="AP23" s="263"/>
      <c r="AQ23" s="263"/>
      <c r="AR23" s="263"/>
      <c r="AS23" s="263"/>
      <c r="AT23" s="263"/>
      <c r="AU23" s="263"/>
    </row>
    <row r="24" spans="1:47" s="350" customFormat="1" ht="39">
      <c r="A24" s="304" t="s">
        <v>232</v>
      </c>
      <c r="B24" s="304" t="s">
        <v>604</v>
      </c>
      <c r="C24" s="284" t="s">
        <v>794</v>
      </c>
      <c r="D24" s="284"/>
      <c r="E24" s="284"/>
      <c r="F24" s="284"/>
      <c r="G24" s="284"/>
      <c r="H24" s="284"/>
      <c r="I24" s="284"/>
      <c r="J24" s="284">
        <v>3.4</v>
      </c>
      <c r="K24" s="287">
        <f t="shared" si="0"/>
        <v>6.542104987700843</v>
      </c>
      <c r="L24" s="287">
        <v>100</v>
      </c>
      <c r="M24" s="284">
        <f>1+1.41</f>
        <v>2.41</v>
      </c>
      <c r="N24" s="287">
        <f t="shared" si="1"/>
        <v>4.5794734913905897</v>
      </c>
      <c r="O24" s="287">
        <f>30+40</f>
        <v>70</v>
      </c>
      <c r="P24" s="284">
        <v>1.5</v>
      </c>
      <c r="Q24" s="287">
        <f t="shared" si="2"/>
        <v>2.8502947041850142</v>
      </c>
      <c r="R24" s="284">
        <f t="shared" si="3"/>
        <v>62.24</v>
      </c>
      <c r="S24" s="284">
        <v>29.88</v>
      </c>
      <c r="T24" s="287">
        <f t="shared" si="4"/>
        <v>42.685714285714283</v>
      </c>
      <c r="U24" s="284"/>
      <c r="V24" s="284"/>
      <c r="W24" s="284"/>
      <c r="X24" s="284"/>
      <c r="Y24" s="284"/>
      <c r="Z24" s="284"/>
      <c r="AA24" s="284"/>
      <c r="AB24" s="284"/>
      <c r="AC24" s="284"/>
      <c r="AD24" s="284"/>
      <c r="AE24" s="284"/>
      <c r="AF24" s="284"/>
      <c r="AG24" s="284"/>
      <c r="AH24" s="284"/>
      <c r="AI24" s="284"/>
      <c r="AJ24" s="284"/>
      <c r="AK24" s="630"/>
      <c r="AL24" s="263"/>
      <c r="AM24" s="263"/>
      <c r="AN24" s="263"/>
      <c r="AO24" s="263"/>
      <c r="AP24" s="263"/>
      <c r="AQ24" s="263"/>
      <c r="AR24" s="263"/>
      <c r="AS24" s="263"/>
      <c r="AT24" s="263"/>
      <c r="AU24" s="263"/>
    </row>
    <row r="25" spans="1:47" s="350" customFormat="1" ht="39">
      <c r="A25" s="304" t="s">
        <v>234</v>
      </c>
      <c r="B25" s="304" t="s">
        <v>605</v>
      </c>
      <c r="C25" s="284" t="s">
        <v>794</v>
      </c>
      <c r="D25" s="284"/>
      <c r="E25" s="284"/>
      <c r="F25" s="284"/>
      <c r="G25" s="284"/>
      <c r="H25" s="284"/>
      <c r="I25" s="284"/>
      <c r="J25" s="284">
        <v>2.96</v>
      </c>
      <c r="K25" s="287">
        <f t="shared" si="0"/>
        <v>3.9252629926205054</v>
      </c>
      <c r="L25" s="287">
        <v>60</v>
      </c>
      <c r="M25" s="284">
        <f t="shared" ref="M25:M30" si="5">0+1</f>
        <v>1</v>
      </c>
      <c r="N25" s="287">
        <f t="shared" si="1"/>
        <v>1.9626314963102527</v>
      </c>
      <c r="O25" s="287">
        <f>0+30</f>
        <v>30</v>
      </c>
      <c r="P25" s="284">
        <v>1</v>
      </c>
      <c r="Q25" s="287">
        <f t="shared" si="2"/>
        <v>1.9626314963102527</v>
      </c>
      <c r="R25" s="284">
        <f t="shared" si="3"/>
        <v>100</v>
      </c>
      <c r="S25" s="284">
        <v>17.39</v>
      </c>
      <c r="T25" s="287">
        <f t="shared" si="4"/>
        <v>57.966666666666669</v>
      </c>
      <c r="U25" s="284"/>
      <c r="V25" s="284"/>
      <c r="W25" s="284"/>
      <c r="X25" s="284"/>
      <c r="Y25" s="284"/>
      <c r="Z25" s="284"/>
      <c r="AA25" s="284"/>
      <c r="AB25" s="284"/>
      <c r="AC25" s="284"/>
      <c r="AD25" s="284"/>
      <c r="AE25" s="284"/>
      <c r="AF25" s="284"/>
      <c r="AG25" s="284"/>
      <c r="AH25" s="284"/>
      <c r="AI25" s="284"/>
      <c r="AJ25" s="284"/>
      <c r="AK25" s="630"/>
      <c r="AL25" s="263"/>
      <c r="AM25" s="263"/>
      <c r="AN25" s="263"/>
      <c r="AO25" s="263"/>
      <c r="AP25" s="263"/>
      <c r="AQ25" s="263"/>
      <c r="AR25" s="263"/>
      <c r="AS25" s="263"/>
      <c r="AT25" s="263"/>
      <c r="AU25" s="263"/>
    </row>
    <row r="26" spans="1:47" s="350" customFormat="1" ht="58.5">
      <c r="A26" s="304" t="s">
        <v>240</v>
      </c>
      <c r="B26" s="304" t="s">
        <v>606</v>
      </c>
      <c r="C26" s="284" t="s">
        <v>794</v>
      </c>
      <c r="D26" s="284"/>
      <c r="E26" s="284"/>
      <c r="F26" s="284"/>
      <c r="G26" s="284"/>
      <c r="H26" s="284"/>
      <c r="I26" s="284"/>
      <c r="J26" s="284">
        <v>1</v>
      </c>
      <c r="K26" s="287">
        <f t="shared" si="0"/>
        <v>0.32710524938504215</v>
      </c>
      <c r="L26" s="287">
        <v>5</v>
      </c>
      <c r="M26" s="284">
        <f t="shared" si="5"/>
        <v>1</v>
      </c>
      <c r="N26" s="287">
        <f t="shared" si="1"/>
        <v>0.16355262469252108</v>
      </c>
      <c r="O26" s="287">
        <f>0+2.5</f>
        <v>2.5</v>
      </c>
      <c r="P26" s="284">
        <v>1</v>
      </c>
      <c r="Q26" s="287">
        <f t="shared" si="2"/>
        <v>0.16355262469252108</v>
      </c>
      <c r="R26" s="284">
        <f t="shared" si="3"/>
        <v>100</v>
      </c>
      <c r="S26" s="284">
        <v>4.8099999999999996</v>
      </c>
      <c r="T26" s="287">
        <f>IFERROR(S26/L26*100,0)</f>
        <v>96.2</v>
      </c>
      <c r="U26" s="284"/>
      <c r="V26" s="284"/>
      <c r="W26" s="284"/>
      <c r="X26" s="284"/>
      <c r="Y26" s="284"/>
      <c r="Z26" s="284"/>
      <c r="AA26" s="284"/>
      <c r="AB26" s="284"/>
      <c r="AC26" s="284"/>
      <c r="AD26" s="284"/>
      <c r="AE26" s="284"/>
      <c r="AF26" s="284"/>
      <c r="AG26" s="284"/>
      <c r="AH26" s="284"/>
      <c r="AI26" s="284"/>
      <c r="AJ26" s="284"/>
      <c r="AK26" s="630"/>
      <c r="AL26" s="263"/>
      <c r="AM26" s="263"/>
      <c r="AN26" s="263"/>
      <c r="AO26" s="263"/>
      <c r="AP26" s="263"/>
      <c r="AQ26" s="263"/>
      <c r="AR26" s="263"/>
      <c r="AS26" s="263"/>
      <c r="AT26" s="263"/>
      <c r="AU26" s="263"/>
    </row>
    <row r="27" spans="1:47" s="350" customFormat="1" ht="58.5">
      <c r="A27" s="304" t="s">
        <v>242</v>
      </c>
      <c r="B27" s="304" t="s">
        <v>607</v>
      </c>
      <c r="C27" s="284" t="s">
        <v>794</v>
      </c>
      <c r="D27" s="284"/>
      <c r="E27" s="284"/>
      <c r="F27" s="284"/>
      <c r="G27" s="284"/>
      <c r="H27" s="284"/>
      <c r="I27" s="284"/>
      <c r="J27" s="284">
        <v>1</v>
      </c>
      <c r="K27" s="287">
        <f t="shared" si="0"/>
        <v>0.6542104987700843</v>
      </c>
      <c r="L27" s="287">
        <v>10</v>
      </c>
      <c r="M27" s="284">
        <f t="shared" si="5"/>
        <v>1</v>
      </c>
      <c r="N27" s="287">
        <f t="shared" si="1"/>
        <v>0.32710524938504215</v>
      </c>
      <c r="O27" s="287">
        <f>0+5</f>
        <v>5</v>
      </c>
      <c r="P27" s="284">
        <v>1</v>
      </c>
      <c r="Q27" s="287">
        <f t="shared" si="2"/>
        <v>0.32710524938504215</v>
      </c>
      <c r="R27" s="284">
        <f t="shared" si="3"/>
        <v>100</v>
      </c>
      <c r="S27" s="284">
        <v>4.8</v>
      </c>
      <c r="T27" s="287">
        <f t="shared" si="4"/>
        <v>96</v>
      </c>
      <c r="U27" s="284"/>
      <c r="V27" s="284"/>
      <c r="W27" s="284"/>
      <c r="X27" s="284"/>
      <c r="Y27" s="284"/>
      <c r="Z27" s="284"/>
      <c r="AA27" s="284"/>
      <c r="AB27" s="284"/>
      <c r="AC27" s="284"/>
      <c r="AD27" s="284"/>
      <c r="AE27" s="284"/>
      <c r="AF27" s="284"/>
      <c r="AG27" s="284"/>
      <c r="AH27" s="284"/>
      <c r="AI27" s="284"/>
      <c r="AJ27" s="284"/>
      <c r="AK27" s="630"/>
      <c r="AL27" s="263"/>
      <c r="AM27" s="263"/>
      <c r="AN27" s="263"/>
      <c r="AO27" s="263"/>
      <c r="AP27" s="263"/>
      <c r="AQ27" s="263"/>
      <c r="AR27" s="263"/>
      <c r="AS27" s="263"/>
      <c r="AT27" s="263"/>
      <c r="AU27" s="263"/>
    </row>
    <row r="28" spans="1:47" s="350" customFormat="1" ht="58.5">
      <c r="A28" s="304" t="s">
        <v>244</v>
      </c>
      <c r="B28" s="304" t="s">
        <v>608</v>
      </c>
      <c r="C28" s="284" t="s">
        <v>794</v>
      </c>
      <c r="D28" s="284"/>
      <c r="E28" s="284"/>
      <c r="F28" s="284"/>
      <c r="G28" s="284"/>
      <c r="H28" s="284"/>
      <c r="I28" s="284"/>
      <c r="J28" s="284">
        <v>1</v>
      </c>
      <c r="K28" s="287">
        <f t="shared" si="0"/>
        <v>0.6542104987700843</v>
      </c>
      <c r="L28" s="287">
        <v>10</v>
      </c>
      <c r="M28" s="284">
        <f t="shared" si="5"/>
        <v>1</v>
      </c>
      <c r="N28" s="287">
        <f t="shared" si="1"/>
        <v>0.6542104987700843</v>
      </c>
      <c r="O28" s="287">
        <f>0+10</f>
        <v>10</v>
      </c>
      <c r="P28" s="284">
        <v>0.25</v>
      </c>
      <c r="Q28" s="287">
        <f t="shared" si="2"/>
        <v>0.16355262469252108</v>
      </c>
      <c r="R28" s="284">
        <f t="shared" si="3"/>
        <v>25</v>
      </c>
      <c r="S28" s="284">
        <v>0</v>
      </c>
      <c r="T28" s="287">
        <f t="shared" si="4"/>
        <v>0</v>
      </c>
      <c r="U28" s="284"/>
      <c r="V28" s="284"/>
      <c r="W28" s="284"/>
      <c r="X28" s="284"/>
      <c r="Y28" s="284"/>
      <c r="Z28" s="284"/>
      <c r="AA28" s="284"/>
      <c r="AB28" s="284"/>
      <c r="AC28" s="284"/>
      <c r="AD28" s="284"/>
      <c r="AE28" s="284"/>
      <c r="AF28" s="284"/>
      <c r="AG28" s="284"/>
      <c r="AH28" s="284"/>
      <c r="AI28" s="284"/>
      <c r="AJ28" s="284"/>
      <c r="AK28" s="630"/>
      <c r="AL28" s="263"/>
      <c r="AM28" s="263"/>
      <c r="AN28" s="263"/>
      <c r="AO28" s="263"/>
      <c r="AP28" s="263"/>
      <c r="AQ28" s="263"/>
      <c r="AR28" s="263"/>
      <c r="AS28" s="263"/>
      <c r="AT28" s="263"/>
      <c r="AU28" s="263"/>
    </row>
    <row r="29" spans="1:47" s="350" customFormat="1" ht="58.5">
      <c r="A29" s="304" t="s">
        <v>246</v>
      </c>
      <c r="B29" s="304" t="s">
        <v>609</v>
      </c>
      <c r="C29" s="284" t="s">
        <v>794</v>
      </c>
      <c r="D29" s="284"/>
      <c r="E29" s="284"/>
      <c r="F29" s="284"/>
      <c r="G29" s="284"/>
      <c r="H29" s="284"/>
      <c r="I29" s="284"/>
      <c r="J29" s="284">
        <v>1</v>
      </c>
      <c r="K29" s="287">
        <f t="shared" si="0"/>
        <v>0.6542104987700843</v>
      </c>
      <c r="L29" s="287">
        <v>10</v>
      </c>
      <c r="M29" s="284">
        <f t="shared" si="5"/>
        <v>1</v>
      </c>
      <c r="N29" s="287">
        <f t="shared" si="1"/>
        <v>0.6542104987700843</v>
      </c>
      <c r="O29" s="287">
        <f>0+10</f>
        <v>10</v>
      </c>
      <c r="P29" s="284">
        <v>1</v>
      </c>
      <c r="Q29" s="287">
        <f t="shared" si="2"/>
        <v>0.6542104987700843</v>
      </c>
      <c r="R29" s="284">
        <f t="shared" si="3"/>
        <v>100</v>
      </c>
      <c r="S29" s="284">
        <v>0</v>
      </c>
      <c r="T29" s="287">
        <f t="shared" si="4"/>
        <v>0</v>
      </c>
      <c r="U29" s="284"/>
      <c r="V29" s="284"/>
      <c r="W29" s="284"/>
      <c r="X29" s="284"/>
      <c r="Y29" s="284"/>
      <c r="Z29" s="284"/>
      <c r="AA29" s="284"/>
      <c r="AB29" s="284"/>
      <c r="AC29" s="284"/>
      <c r="AD29" s="284"/>
      <c r="AE29" s="284"/>
      <c r="AF29" s="284"/>
      <c r="AG29" s="284"/>
      <c r="AH29" s="284"/>
      <c r="AI29" s="284"/>
      <c r="AJ29" s="284"/>
      <c r="AK29" s="630"/>
      <c r="AL29" s="263"/>
      <c r="AM29" s="263"/>
      <c r="AN29" s="263"/>
      <c r="AO29" s="263"/>
      <c r="AP29" s="263"/>
      <c r="AQ29" s="263"/>
      <c r="AR29" s="263"/>
      <c r="AS29" s="263"/>
      <c r="AT29" s="263"/>
      <c r="AU29" s="263"/>
    </row>
    <row r="30" spans="1:47" s="350" customFormat="1" ht="39">
      <c r="A30" s="304" t="s">
        <v>248</v>
      </c>
      <c r="B30" s="304" t="s">
        <v>610</v>
      </c>
      <c r="C30" s="284" t="s">
        <v>794</v>
      </c>
      <c r="D30" s="284"/>
      <c r="E30" s="284"/>
      <c r="F30" s="284"/>
      <c r="G30" s="284"/>
      <c r="H30" s="284"/>
      <c r="I30" s="284"/>
      <c r="J30" s="284">
        <v>1</v>
      </c>
      <c r="K30" s="287">
        <f t="shared" si="0"/>
        <v>1.3084209975401686</v>
      </c>
      <c r="L30" s="287">
        <v>20</v>
      </c>
      <c r="M30" s="284">
        <f t="shared" si="5"/>
        <v>1</v>
      </c>
      <c r="N30" s="287">
        <f t="shared" si="1"/>
        <v>0.6542104987700843</v>
      </c>
      <c r="O30" s="287">
        <f>0+10</f>
        <v>10</v>
      </c>
      <c r="P30" s="284">
        <v>1</v>
      </c>
      <c r="Q30" s="287">
        <f t="shared" si="2"/>
        <v>0.6542104987700843</v>
      </c>
      <c r="R30" s="284">
        <f t="shared" si="3"/>
        <v>100</v>
      </c>
      <c r="S30" s="284">
        <v>19.2</v>
      </c>
      <c r="T30" s="287">
        <f>IFERROR(S30/L30*100,0)</f>
        <v>96</v>
      </c>
      <c r="U30" s="284"/>
      <c r="V30" s="284"/>
      <c r="W30" s="284"/>
      <c r="X30" s="284"/>
      <c r="Y30" s="284"/>
      <c r="Z30" s="284"/>
      <c r="AA30" s="284"/>
      <c r="AB30" s="284"/>
      <c r="AC30" s="284"/>
      <c r="AD30" s="284"/>
      <c r="AE30" s="284"/>
      <c r="AF30" s="284"/>
      <c r="AG30" s="284"/>
      <c r="AH30" s="284"/>
      <c r="AI30" s="284"/>
      <c r="AJ30" s="284"/>
      <c r="AK30" s="630"/>
      <c r="AL30" s="263"/>
      <c r="AM30" s="263"/>
      <c r="AN30" s="263"/>
      <c r="AO30" s="263"/>
      <c r="AP30" s="263"/>
      <c r="AQ30" s="263"/>
      <c r="AR30" s="263"/>
      <c r="AS30" s="263"/>
      <c r="AT30" s="263"/>
      <c r="AU30" s="263"/>
    </row>
    <row r="31" spans="1:47" s="306" customFormat="1" ht="39">
      <c r="A31" s="304" t="s">
        <v>250</v>
      </c>
      <c r="B31" s="304" t="s">
        <v>611</v>
      </c>
      <c r="C31" s="284" t="s">
        <v>794</v>
      </c>
      <c r="D31" s="284"/>
      <c r="E31" s="284"/>
      <c r="F31" s="284"/>
      <c r="G31" s="284"/>
      <c r="H31" s="284"/>
      <c r="I31" s="284"/>
      <c r="J31" s="284">
        <v>0</v>
      </c>
      <c r="K31" s="287">
        <f t="shared" si="0"/>
        <v>0</v>
      </c>
      <c r="L31" s="356">
        <v>0</v>
      </c>
      <c r="M31" s="284">
        <f>1+1</f>
        <v>2</v>
      </c>
      <c r="N31" s="287">
        <f t="shared" si="1"/>
        <v>0</v>
      </c>
      <c r="O31" s="287">
        <f>0+0</f>
        <v>0</v>
      </c>
      <c r="P31" s="284">
        <v>0</v>
      </c>
      <c r="Q31" s="287">
        <f t="shared" si="2"/>
        <v>0</v>
      </c>
      <c r="R31" s="284">
        <v>0</v>
      </c>
      <c r="S31" s="284">
        <v>0</v>
      </c>
      <c r="T31" s="287">
        <f t="shared" si="4"/>
        <v>0</v>
      </c>
      <c r="U31" s="287">
        <v>5</v>
      </c>
      <c r="V31" s="283">
        <v>0.12</v>
      </c>
      <c r="W31" s="287">
        <v>1.5</v>
      </c>
      <c r="X31" s="287">
        <v>5</v>
      </c>
      <c r="Y31" s="287"/>
      <c r="Z31" s="287">
        <f>V31/U31*X31</f>
        <v>0.12</v>
      </c>
      <c r="AA31" s="287"/>
      <c r="AB31" s="287"/>
      <c r="AC31" s="287"/>
      <c r="AD31" s="287"/>
      <c r="AE31" s="287"/>
      <c r="AF31" s="287"/>
      <c r="AG31" s="287">
        <v>15</v>
      </c>
      <c r="AH31" s="287">
        <v>0.37</v>
      </c>
      <c r="AI31" s="284"/>
      <c r="AJ31" s="284"/>
      <c r="AK31" s="630"/>
      <c r="AL31" s="305"/>
      <c r="AM31" s="305"/>
      <c r="AN31" s="305"/>
      <c r="AO31" s="305"/>
      <c r="AP31" s="305"/>
      <c r="AQ31" s="305"/>
      <c r="AR31" s="305"/>
      <c r="AS31" s="305"/>
      <c r="AT31" s="305"/>
      <c r="AU31" s="305"/>
    </row>
    <row r="32" spans="1:47" s="306" customFormat="1" ht="40.5">
      <c r="A32" s="308" t="s">
        <v>216</v>
      </c>
      <c r="B32" s="363" t="s">
        <v>612</v>
      </c>
      <c r="C32" s="284" t="s">
        <v>794</v>
      </c>
      <c r="D32" s="284"/>
      <c r="E32" s="284"/>
      <c r="F32" s="284"/>
      <c r="G32" s="284"/>
      <c r="H32" s="284"/>
      <c r="I32" s="284"/>
      <c r="J32" s="284">
        <v>2</v>
      </c>
      <c r="K32" s="287">
        <f t="shared" si="0"/>
        <v>0.13084209975401687</v>
      </c>
      <c r="L32" s="356">
        <v>2</v>
      </c>
      <c r="M32" s="284">
        <f>1+1</f>
        <v>2</v>
      </c>
      <c r="N32" s="287">
        <f t="shared" si="1"/>
        <v>0.13084209975401687</v>
      </c>
      <c r="O32" s="287">
        <f>1+1</f>
        <v>2</v>
      </c>
      <c r="P32" s="284">
        <v>1.5</v>
      </c>
      <c r="Q32" s="287">
        <f t="shared" si="2"/>
        <v>9.8131574815512657E-2</v>
      </c>
      <c r="R32" s="284">
        <f t="shared" si="3"/>
        <v>75</v>
      </c>
      <c r="S32" s="284">
        <v>0</v>
      </c>
      <c r="T32" s="287">
        <f t="shared" si="4"/>
        <v>0</v>
      </c>
      <c r="U32" s="284">
        <v>0</v>
      </c>
      <c r="V32" s="283">
        <v>0</v>
      </c>
      <c r="W32" s="284">
        <v>0</v>
      </c>
      <c r="X32" s="284">
        <v>6</v>
      </c>
      <c r="Y32" s="284"/>
      <c r="Z32" s="287">
        <f>K32/J32*X32</f>
        <v>0.39252629926205063</v>
      </c>
      <c r="AA32" s="287"/>
      <c r="AB32" s="287"/>
      <c r="AC32" s="287"/>
      <c r="AD32" s="287"/>
      <c r="AE32" s="287"/>
      <c r="AF32" s="287"/>
      <c r="AG32" s="287">
        <f t="shared" ref="AG32:AG33" si="6">X32+P32</f>
        <v>7.5</v>
      </c>
      <c r="AH32" s="287">
        <v>1.48</v>
      </c>
      <c r="AI32" s="284"/>
      <c r="AJ32" s="284"/>
      <c r="AK32" s="630"/>
      <c r="AL32" s="305"/>
      <c r="AM32" s="305"/>
      <c r="AN32" s="305"/>
      <c r="AO32" s="305"/>
      <c r="AP32" s="305"/>
      <c r="AQ32" s="305"/>
      <c r="AR32" s="305"/>
      <c r="AS32" s="305"/>
      <c r="AT32" s="305"/>
      <c r="AU32" s="305"/>
    </row>
    <row r="33" spans="1:47" s="306" customFormat="1" ht="40.5">
      <c r="A33" s="308" t="s">
        <v>399</v>
      </c>
      <c r="B33" s="363" t="s">
        <v>613</v>
      </c>
      <c r="C33" s="284" t="s">
        <v>794</v>
      </c>
      <c r="D33" s="284"/>
      <c r="E33" s="284"/>
      <c r="F33" s="284"/>
      <c r="G33" s="284"/>
      <c r="H33" s="284"/>
      <c r="I33" s="284"/>
      <c r="J33" s="284">
        <v>1</v>
      </c>
      <c r="K33" s="287">
        <f t="shared" si="0"/>
        <v>0.32710524938504215</v>
      </c>
      <c r="L33" s="356">
        <v>5</v>
      </c>
      <c r="M33" s="284">
        <f>0+1</f>
        <v>1</v>
      </c>
      <c r="N33" s="287">
        <f t="shared" si="1"/>
        <v>0.32710524938504215</v>
      </c>
      <c r="O33" s="287">
        <f>0+5</f>
        <v>5</v>
      </c>
      <c r="P33" s="284">
        <v>0</v>
      </c>
      <c r="Q33" s="287">
        <f t="shared" si="2"/>
        <v>0</v>
      </c>
      <c r="R33" s="284">
        <f t="shared" si="3"/>
        <v>0</v>
      </c>
      <c r="S33" s="284">
        <v>0</v>
      </c>
      <c r="T33" s="287">
        <f t="shared" si="4"/>
        <v>0</v>
      </c>
      <c r="U33" s="284">
        <v>1</v>
      </c>
      <c r="V33" s="283">
        <v>0.02</v>
      </c>
      <c r="W33" s="284">
        <v>0.2</v>
      </c>
      <c r="X33" s="284">
        <v>0</v>
      </c>
      <c r="Y33" s="284"/>
      <c r="Z33" s="287">
        <f t="shared" ref="Z33:Z46" si="7">V33/U33*X33</f>
        <v>0</v>
      </c>
      <c r="AA33" s="287"/>
      <c r="AB33" s="287"/>
      <c r="AC33" s="287"/>
      <c r="AD33" s="287"/>
      <c r="AE33" s="287"/>
      <c r="AF33" s="287"/>
      <c r="AG33" s="287">
        <f t="shared" si="6"/>
        <v>0</v>
      </c>
      <c r="AH33" s="287">
        <f>K33/J33*AG33</f>
        <v>0</v>
      </c>
      <c r="AI33" s="284"/>
      <c r="AJ33" s="284"/>
      <c r="AK33" s="630"/>
      <c r="AL33" s="305"/>
      <c r="AM33" s="305"/>
      <c r="AN33" s="305"/>
      <c r="AO33" s="305"/>
      <c r="AP33" s="305"/>
      <c r="AQ33" s="305"/>
      <c r="AR33" s="305"/>
      <c r="AS33" s="305"/>
      <c r="AT33" s="305"/>
      <c r="AU33" s="305"/>
    </row>
    <row r="34" spans="1:47" s="306" customFormat="1" ht="40.5">
      <c r="A34" s="308" t="s">
        <v>401</v>
      </c>
      <c r="B34" s="363" t="s">
        <v>614</v>
      </c>
      <c r="C34" s="284" t="s">
        <v>796</v>
      </c>
      <c r="D34" s="284"/>
      <c r="E34" s="284"/>
      <c r="F34" s="284"/>
      <c r="G34" s="284"/>
      <c r="H34" s="284"/>
      <c r="I34" s="284"/>
      <c r="J34" s="284">
        <v>1</v>
      </c>
      <c r="K34" s="287">
        <f t="shared" si="0"/>
        <v>0.32710524938504215</v>
      </c>
      <c r="L34" s="356">
        <v>5</v>
      </c>
      <c r="M34" s="284">
        <f>0+1</f>
        <v>1</v>
      </c>
      <c r="N34" s="287">
        <f t="shared" si="1"/>
        <v>0.32710524938504215</v>
      </c>
      <c r="O34" s="287">
        <f>0+5</f>
        <v>5</v>
      </c>
      <c r="P34" s="284">
        <v>0</v>
      </c>
      <c r="Q34" s="287">
        <f t="shared" si="2"/>
        <v>0</v>
      </c>
      <c r="R34" s="284">
        <f t="shared" si="3"/>
        <v>0</v>
      </c>
      <c r="S34" s="284">
        <v>0</v>
      </c>
      <c r="T34" s="287">
        <f t="shared" si="4"/>
        <v>0</v>
      </c>
      <c r="U34" s="284"/>
      <c r="V34" s="283"/>
      <c r="W34" s="284"/>
      <c r="X34" s="284"/>
      <c r="Y34" s="284"/>
      <c r="Z34" s="284"/>
      <c r="AA34" s="284"/>
      <c r="AB34" s="284"/>
      <c r="AC34" s="284"/>
      <c r="AD34" s="284"/>
      <c r="AE34" s="284"/>
      <c r="AF34" s="284"/>
      <c r="AG34" s="284"/>
      <c r="AH34" s="284"/>
      <c r="AI34" s="284"/>
      <c r="AJ34" s="284"/>
      <c r="AK34" s="630"/>
      <c r="AL34" s="305"/>
      <c r="AM34" s="305"/>
      <c r="AN34" s="305"/>
      <c r="AO34" s="305"/>
      <c r="AP34" s="305"/>
      <c r="AQ34" s="305"/>
      <c r="AR34" s="305"/>
      <c r="AS34" s="305"/>
      <c r="AT34" s="305"/>
      <c r="AU34" s="305"/>
    </row>
    <row r="35" spans="1:47" s="306" customFormat="1" ht="39">
      <c r="A35" s="308" t="s">
        <v>404</v>
      </c>
      <c r="B35" s="297" t="s">
        <v>615</v>
      </c>
      <c r="C35" s="352" t="s">
        <v>794</v>
      </c>
      <c r="D35" s="284"/>
      <c r="E35" s="284"/>
      <c r="F35" s="284"/>
      <c r="G35" s="284"/>
      <c r="H35" s="284"/>
      <c r="I35" s="284"/>
      <c r="J35" s="284">
        <v>1</v>
      </c>
      <c r="K35" s="287">
        <f t="shared" si="0"/>
        <v>3.2710524938504215</v>
      </c>
      <c r="L35" s="356">
        <v>50</v>
      </c>
      <c r="M35" s="284">
        <f>1+1</f>
        <v>2</v>
      </c>
      <c r="N35" s="287">
        <f t="shared" si="1"/>
        <v>2.2897367456952948</v>
      </c>
      <c r="O35" s="287">
        <f>20+15</f>
        <v>35</v>
      </c>
      <c r="P35" s="284">
        <v>0</v>
      </c>
      <c r="Q35" s="287">
        <f t="shared" si="2"/>
        <v>0</v>
      </c>
      <c r="R35" s="284">
        <f t="shared" si="3"/>
        <v>0</v>
      </c>
      <c r="S35" s="284">
        <v>0</v>
      </c>
      <c r="T35" s="287">
        <f t="shared" si="4"/>
        <v>0</v>
      </c>
      <c r="U35" s="284">
        <v>1</v>
      </c>
      <c r="V35" s="284">
        <v>8.23</v>
      </c>
      <c r="W35" s="284">
        <v>100</v>
      </c>
      <c r="X35" s="284">
        <v>0</v>
      </c>
      <c r="Y35" s="284"/>
      <c r="Z35" s="284">
        <v>0</v>
      </c>
      <c r="AA35" s="284"/>
      <c r="AB35" s="284"/>
      <c r="AC35" s="284"/>
      <c r="AD35" s="284"/>
      <c r="AE35" s="284"/>
      <c r="AF35" s="284"/>
      <c r="AG35" s="284">
        <v>0</v>
      </c>
      <c r="AH35" s="284">
        <v>0</v>
      </c>
      <c r="AI35" s="284"/>
      <c r="AJ35" s="284"/>
      <c r="AK35" s="630"/>
      <c r="AL35" s="305"/>
      <c r="AM35" s="305"/>
      <c r="AN35" s="305"/>
      <c r="AO35" s="305"/>
      <c r="AP35" s="305"/>
      <c r="AQ35" s="305"/>
      <c r="AR35" s="305"/>
      <c r="AS35" s="305"/>
      <c r="AT35" s="305"/>
      <c r="AU35" s="305"/>
    </row>
    <row r="36" spans="1:47" s="306" customFormat="1" ht="39">
      <c r="A36" s="308" t="s">
        <v>406</v>
      </c>
      <c r="B36" s="304" t="s">
        <v>540</v>
      </c>
      <c r="C36" s="283" t="s">
        <v>797</v>
      </c>
      <c r="D36" s="284"/>
      <c r="E36" s="284"/>
      <c r="F36" s="284"/>
      <c r="G36" s="284"/>
      <c r="H36" s="284"/>
      <c r="I36" s="284"/>
      <c r="J36" s="284">
        <v>1</v>
      </c>
      <c r="K36" s="287">
        <f t="shared" si="0"/>
        <v>3.2710524938504215</v>
      </c>
      <c r="L36" s="356">
        <v>50</v>
      </c>
      <c r="M36" s="284">
        <f>1+1</f>
        <v>2</v>
      </c>
      <c r="N36" s="287">
        <f t="shared" si="1"/>
        <v>2.2897367456952948</v>
      </c>
      <c r="O36" s="287">
        <f>20+15</f>
        <v>35</v>
      </c>
      <c r="P36" s="284">
        <v>1</v>
      </c>
      <c r="Q36" s="287">
        <f t="shared" si="2"/>
        <v>1.1448683728476474</v>
      </c>
      <c r="R36" s="284">
        <f t="shared" si="3"/>
        <v>50</v>
      </c>
      <c r="S36" s="284">
        <v>0</v>
      </c>
      <c r="T36" s="287">
        <f t="shared" si="4"/>
        <v>0</v>
      </c>
      <c r="U36" s="284">
        <v>0</v>
      </c>
      <c r="V36" s="284">
        <v>0</v>
      </c>
      <c r="W36" s="284">
        <v>0</v>
      </c>
      <c r="X36" s="284">
        <v>0</v>
      </c>
      <c r="Y36" s="284"/>
      <c r="Z36" s="284">
        <v>0</v>
      </c>
      <c r="AA36" s="284"/>
      <c r="AB36" s="284"/>
      <c r="AC36" s="284"/>
      <c r="AD36" s="284"/>
      <c r="AE36" s="284"/>
      <c r="AF36" s="284"/>
      <c r="AG36" s="284">
        <v>0</v>
      </c>
      <c r="AH36" s="284">
        <v>0</v>
      </c>
      <c r="AI36" s="284"/>
      <c r="AJ36" s="284"/>
      <c r="AK36" s="630"/>
      <c r="AL36" s="305"/>
      <c r="AM36" s="305"/>
      <c r="AN36" s="305"/>
      <c r="AO36" s="305"/>
      <c r="AP36" s="305"/>
      <c r="AQ36" s="305"/>
      <c r="AR36" s="305"/>
      <c r="AS36" s="305"/>
      <c r="AT36" s="305"/>
      <c r="AU36" s="305"/>
    </row>
    <row r="37" spans="1:47" s="306" customFormat="1" ht="39">
      <c r="A37" s="308" t="s">
        <v>407</v>
      </c>
      <c r="B37" s="297" t="s">
        <v>616</v>
      </c>
      <c r="C37" s="352" t="s">
        <v>794</v>
      </c>
      <c r="D37" s="284"/>
      <c r="E37" s="284"/>
      <c r="F37" s="284"/>
      <c r="G37" s="284"/>
      <c r="H37" s="284"/>
      <c r="I37" s="284"/>
      <c r="J37" s="284">
        <v>1</v>
      </c>
      <c r="K37" s="287">
        <f t="shared" si="0"/>
        <v>0.32710524938504215</v>
      </c>
      <c r="L37" s="356">
        <v>5</v>
      </c>
      <c r="M37" s="284">
        <f>1+0</f>
        <v>1</v>
      </c>
      <c r="N37" s="287">
        <f t="shared" si="1"/>
        <v>0.32710524938504215</v>
      </c>
      <c r="O37" s="287">
        <f>5+0</f>
        <v>5</v>
      </c>
      <c r="P37" s="284">
        <v>0</v>
      </c>
      <c r="Q37" s="287">
        <f t="shared" si="2"/>
        <v>0</v>
      </c>
      <c r="R37" s="284">
        <f t="shared" si="3"/>
        <v>0</v>
      </c>
      <c r="S37" s="284">
        <v>0</v>
      </c>
      <c r="T37" s="287">
        <f t="shared" si="4"/>
        <v>0</v>
      </c>
      <c r="U37" s="287">
        <v>0.2</v>
      </c>
      <c r="V37" s="283">
        <v>1.65</v>
      </c>
      <c r="W37" s="287">
        <v>20</v>
      </c>
      <c r="X37" s="287">
        <f>U37</f>
        <v>0.2</v>
      </c>
      <c r="Y37" s="287"/>
      <c r="Z37" s="287">
        <v>1.65</v>
      </c>
      <c r="AA37" s="287"/>
      <c r="AB37" s="287"/>
      <c r="AC37" s="287"/>
      <c r="AD37" s="287"/>
      <c r="AE37" s="287"/>
      <c r="AF37" s="287"/>
      <c r="AG37" s="287">
        <v>1</v>
      </c>
      <c r="AH37" s="287">
        <f t="shared" ref="AH37:AH46" si="8">K37/J37*AG37</f>
        <v>0.32710524938504215</v>
      </c>
      <c r="AI37" s="284"/>
      <c r="AJ37" s="284"/>
      <c r="AK37" s="630"/>
      <c r="AL37" s="305"/>
      <c r="AM37" s="305"/>
      <c r="AN37" s="305"/>
      <c r="AO37" s="305"/>
      <c r="AP37" s="305"/>
      <c r="AQ37" s="305"/>
      <c r="AR37" s="305"/>
      <c r="AS37" s="305"/>
      <c r="AT37" s="305"/>
      <c r="AU37" s="305"/>
    </row>
    <row r="38" spans="1:47" s="306" customFormat="1" ht="39">
      <c r="A38" s="308" t="s">
        <v>409</v>
      </c>
      <c r="B38" s="304" t="s">
        <v>540</v>
      </c>
      <c r="C38" s="341" t="s">
        <v>797</v>
      </c>
      <c r="D38" s="284"/>
      <c r="E38" s="284"/>
      <c r="F38" s="284"/>
      <c r="G38" s="284"/>
      <c r="H38" s="284"/>
      <c r="I38" s="284"/>
      <c r="J38" s="284">
        <v>1</v>
      </c>
      <c r="K38" s="287">
        <f t="shared" si="0"/>
        <v>0.32710524938504215</v>
      </c>
      <c r="L38" s="356">
        <v>5</v>
      </c>
      <c r="M38" s="284">
        <f>1+0</f>
        <v>1</v>
      </c>
      <c r="N38" s="287">
        <f t="shared" si="1"/>
        <v>0.32710524938504215</v>
      </c>
      <c r="O38" s="287">
        <f>5+0</f>
        <v>5</v>
      </c>
      <c r="P38" s="284">
        <v>1</v>
      </c>
      <c r="Q38" s="287">
        <f t="shared" si="2"/>
        <v>0.32710524938504215</v>
      </c>
      <c r="R38" s="284">
        <f t="shared" si="3"/>
        <v>100</v>
      </c>
      <c r="S38" s="284">
        <v>0</v>
      </c>
      <c r="T38" s="287">
        <f t="shared" si="4"/>
        <v>0</v>
      </c>
      <c r="U38" s="287"/>
      <c r="V38" s="283"/>
      <c r="W38" s="287"/>
      <c r="X38" s="287"/>
      <c r="Y38" s="287"/>
      <c r="Z38" s="287"/>
      <c r="AA38" s="287"/>
      <c r="AB38" s="287"/>
      <c r="AC38" s="287"/>
      <c r="AD38" s="287"/>
      <c r="AE38" s="287"/>
      <c r="AF38" s="287"/>
      <c r="AG38" s="287"/>
      <c r="AH38" s="287"/>
      <c r="AI38" s="284"/>
      <c r="AJ38" s="284"/>
      <c r="AK38" s="630"/>
      <c r="AL38" s="305"/>
      <c r="AM38" s="305"/>
      <c r="AN38" s="305"/>
      <c r="AO38" s="305"/>
      <c r="AP38" s="305"/>
      <c r="AQ38" s="305"/>
      <c r="AR38" s="305"/>
      <c r="AS38" s="305"/>
      <c r="AT38" s="305"/>
      <c r="AU38" s="305"/>
    </row>
    <row r="39" spans="1:47" s="306" customFormat="1" ht="40.5">
      <c r="A39" s="308" t="s">
        <v>414</v>
      </c>
      <c r="B39" s="363" t="s">
        <v>617</v>
      </c>
      <c r="C39" s="352" t="s">
        <v>794</v>
      </c>
      <c r="D39" s="284"/>
      <c r="E39" s="284"/>
      <c r="F39" s="284"/>
      <c r="G39" s="284"/>
      <c r="H39" s="284"/>
      <c r="I39" s="284"/>
      <c r="J39" s="284">
        <v>1</v>
      </c>
      <c r="K39" s="287">
        <f t="shared" si="0"/>
        <v>0.39252629926205052</v>
      </c>
      <c r="L39" s="356">
        <v>6</v>
      </c>
      <c r="M39" s="284">
        <f>0+1</f>
        <v>1</v>
      </c>
      <c r="N39" s="287">
        <f t="shared" si="1"/>
        <v>0.19626314963102526</v>
      </c>
      <c r="O39" s="287">
        <f>0+3</f>
        <v>3</v>
      </c>
      <c r="P39" s="284">
        <v>0</v>
      </c>
      <c r="Q39" s="287">
        <f t="shared" si="2"/>
        <v>0</v>
      </c>
      <c r="R39" s="284">
        <f t="shared" si="3"/>
        <v>0</v>
      </c>
      <c r="S39" s="284">
        <v>0</v>
      </c>
      <c r="T39" s="287">
        <f t="shared" si="4"/>
        <v>0</v>
      </c>
      <c r="U39" s="287"/>
      <c r="V39" s="283"/>
      <c r="W39" s="287"/>
      <c r="X39" s="287"/>
      <c r="Y39" s="287"/>
      <c r="Z39" s="287"/>
      <c r="AA39" s="287"/>
      <c r="AB39" s="287"/>
      <c r="AC39" s="287"/>
      <c r="AD39" s="287"/>
      <c r="AE39" s="287"/>
      <c r="AF39" s="287"/>
      <c r="AG39" s="287"/>
      <c r="AH39" s="287"/>
      <c r="AI39" s="284"/>
      <c r="AJ39" s="284"/>
      <c r="AK39" s="630"/>
      <c r="AL39" s="305"/>
      <c r="AM39" s="305"/>
      <c r="AN39" s="305"/>
      <c r="AO39" s="305"/>
      <c r="AP39" s="305"/>
      <c r="AQ39" s="305"/>
      <c r="AR39" s="305"/>
      <c r="AS39" s="305"/>
      <c r="AT39" s="305"/>
      <c r="AU39" s="305"/>
    </row>
    <row r="40" spans="1:47" s="306" customFormat="1" ht="39">
      <c r="A40" s="308" t="s">
        <v>416</v>
      </c>
      <c r="B40" s="304" t="s">
        <v>540</v>
      </c>
      <c r="C40" s="341" t="s">
        <v>797</v>
      </c>
      <c r="D40" s="284"/>
      <c r="E40" s="284"/>
      <c r="F40" s="284"/>
      <c r="G40" s="284"/>
      <c r="H40" s="284"/>
      <c r="I40" s="284"/>
      <c r="J40" s="284">
        <v>1</v>
      </c>
      <c r="K40" s="287">
        <f t="shared" si="0"/>
        <v>0.39252629926205052</v>
      </c>
      <c r="L40" s="356">
        <v>6</v>
      </c>
      <c r="M40" s="284">
        <f>0+1</f>
        <v>1</v>
      </c>
      <c r="N40" s="287">
        <f t="shared" si="1"/>
        <v>0.19626314963102526</v>
      </c>
      <c r="O40" s="287">
        <f>0+3</f>
        <v>3</v>
      </c>
      <c r="P40" s="284">
        <v>0</v>
      </c>
      <c r="Q40" s="287">
        <f t="shared" si="2"/>
        <v>0</v>
      </c>
      <c r="R40" s="284">
        <f t="shared" si="3"/>
        <v>0</v>
      </c>
      <c r="S40" s="284">
        <v>0</v>
      </c>
      <c r="T40" s="287">
        <f t="shared" si="4"/>
        <v>0</v>
      </c>
      <c r="U40" s="287"/>
      <c r="V40" s="283"/>
      <c r="W40" s="287"/>
      <c r="X40" s="287"/>
      <c r="Y40" s="287"/>
      <c r="Z40" s="287"/>
      <c r="AA40" s="287"/>
      <c r="AB40" s="287"/>
      <c r="AC40" s="287"/>
      <c r="AD40" s="287"/>
      <c r="AE40" s="287"/>
      <c r="AF40" s="287"/>
      <c r="AG40" s="287"/>
      <c r="AH40" s="287"/>
      <c r="AI40" s="284"/>
      <c r="AJ40" s="284"/>
      <c r="AK40" s="630"/>
      <c r="AL40" s="305"/>
      <c r="AM40" s="305"/>
      <c r="AN40" s="305"/>
      <c r="AO40" s="305"/>
      <c r="AP40" s="305"/>
      <c r="AQ40" s="305"/>
      <c r="AR40" s="305"/>
      <c r="AS40" s="305"/>
      <c r="AT40" s="305"/>
      <c r="AU40" s="305"/>
    </row>
    <row r="41" spans="1:47" s="306" customFormat="1" ht="40.5">
      <c r="A41" s="308" t="s">
        <v>417</v>
      </c>
      <c r="B41" s="363" t="s">
        <v>618</v>
      </c>
      <c r="C41" s="352" t="s">
        <v>794</v>
      </c>
      <c r="D41" s="284"/>
      <c r="E41" s="284"/>
      <c r="F41" s="284"/>
      <c r="G41" s="284"/>
      <c r="H41" s="284"/>
      <c r="I41" s="284"/>
      <c r="J41" s="284">
        <v>1</v>
      </c>
      <c r="K41" s="287">
        <f t="shared" si="0"/>
        <v>0.78505259852410103</v>
      </c>
      <c r="L41" s="356">
        <v>12</v>
      </c>
      <c r="M41" s="284">
        <f>1+1</f>
        <v>2</v>
      </c>
      <c r="N41" s="287">
        <f t="shared" si="1"/>
        <v>0.6542104987700843</v>
      </c>
      <c r="O41" s="287">
        <f>5+5</f>
        <v>10</v>
      </c>
      <c r="P41" s="284">
        <v>0</v>
      </c>
      <c r="Q41" s="287">
        <f t="shared" si="2"/>
        <v>0</v>
      </c>
      <c r="R41" s="284">
        <f t="shared" si="3"/>
        <v>0</v>
      </c>
      <c r="S41" s="284">
        <v>0</v>
      </c>
      <c r="T41" s="287">
        <f t="shared" si="4"/>
        <v>0</v>
      </c>
      <c r="U41" s="287"/>
      <c r="V41" s="283"/>
      <c r="W41" s="287"/>
      <c r="X41" s="287"/>
      <c r="Y41" s="287"/>
      <c r="Z41" s="287"/>
      <c r="AA41" s="287"/>
      <c r="AB41" s="287"/>
      <c r="AC41" s="287"/>
      <c r="AD41" s="287"/>
      <c r="AE41" s="287"/>
      <c r="AF41" s="287"/>
      <c r="AG41" s="287"/>
      <c r="AH41" s="287"/>
      <c r="AI41" s="284"/>
      <c r="AJ41" s="284"/>
      <c r="AK41" s="630"/>
      <c r="AL41" s="305"/>
      <c r="AM41" s="305"/>
      <c r="AN41" s="305"/>
      <c r="AO41" s="305"/>
      <c r="AP41" s="305"/>
      <c r="AQ41" s="305"/>
      <c r="AR41" s="305"/>
      <c r="AS41" s="305"/>
      <c r="AT41" s="305"/>
      <c r="AU41" s="305"/>
    </row>
    <row r="42" spans="1:47" s="306" customFormat="1" ht="39">
      <c r="A42" s="308" t="s">
        <v>419</v>
      </c>
      <c r="B42" s="304" t="s">
        <v>540</v>
      </c>
      <c r="C42" s="341" t="s">
        <v>797</v>
      </c>
      <c r="D42" s="284"/>
      <c r="E42" s="284"/>
      <c r="F42" s="284"/>
      <c r="G42" s="284"/>
      <c r="H42" s="284"/>
      <c r="I42" s="284"/>
      <c r="J42" s="284">
        <v>1</v>
      </c>
      <c r="K42" s="287">
        <f t="shared" si="0"/>
        <v>0.78505259852410103</v>
      </c>
      <c r="L42" s="356">
        <v>12</v>
      </c>
      <c r="M42" s="284">
        <f>1+1</f>
        <v>2</v>
      </c>
      <c r="N42" s="287">
        <f t="shared" si="1"/>
        <v>0.6542104987700843</v>
      </c>
      <c r="O42" s="287">
        <f>5+5</f>
        <v>10</v>
      </c>
      <c r="P42" s="284">
        <v>2</v>
      </c>
      <c r="Q42" s="287">
        <f t="shared" si="2"/>
        <v>0.6542104987700843</v>
      </c>
      <c r="R42" s="284">
        <f t="shared" si="3"/>
        <v>100</v>
      </c>
      <c r="S42" s="284">
        <v>3.48</v>
      </c>
      <c r="T42" s="287">
        <f t="shared" si="4"/>
        <v>34.799999999999997</v>
      </c>
      <c r="U42" s="287"/>
      <c r="V42" s="283"/>
      <c r="W42" s="287"/>
      <c r="X42" s="287"/>
      <c r="Y42" s="287"/>
      <c r="Z42" s="287"/>
      <c r="AA42" s="287"/>
      <c r="AB42" s="287"/>
      <c r="AC42" s="287"/>
      <c r="AD42" s="287"/>
      <c r="AE42" s="287"/>
      <c r="AF42" s="287"/>
      <c r="AG42" s="287"/>
      <c r="AH42" s="287"/>
      <c r="AI42" s="284"/>
      <c r="AJ42" s="284"/>
      <c r="AK42" s="630"/>
      <c r="AL42" s="305"/>
      <c r="AM42" s="305"/>
      <c r="AN42" s="305"/>
      <c r="AO42" s="305"/>
      <c r="AP42" s="305"/>
      <c r="AQ42" s="305"/>
      <c r="AR42" s="305"/>
      <c r="AS42" s="305"/>
      <c r="AT42" s="305"/>
      <c r="AU42" s="305"/>
    </row>
    <row r="43" spans="1:47" s="306" customFormat="1" ht="40.5">
      <c r="A43" s="308" t="s">
        <v>420</v>
      </c>
      <c r="B43" s="363" t="s">
        <v>619</v>
      </c>
      <c r="C43" s="283" t="s">
        <v>794</v>
      </c>
      <c r="D43" s="284"/>
      <c r="E43" s="284"/>
      <c r="F43" s="284"/>
      <c r="G43" s="284"/>
      <c r="H43" s="284"/>
      <c r="I43" s="284"/>
      <c r="J43" s="284">
        <v>1</v>
      </c>
      <c r="K43" s="287">
        <f t="shared" si="0"/>
        <v>0.39252629926205052</v>
      </c>
      <c r="L43" s="356">
        <v>6</v>
      </c>
      <c r="M43" s="284">
        <f>0+1</f>
        <v>1</v>
      </c>
      <c r="N43" s="287">
        <f t="shared" si="1"/>
        <v>0.19626314963102526</v>
      </c>
      <c r="O43" s="287">
        <f>0+3</f>
        <v>3</v>
      </c>
      <c r="P43" s="284">
        <v>0</v>
      </c>
      <c r="Q43" s="287">
        <f t="shared" si="2"/>
        <v>0</v>
      </c>
      <c r="R43" s="284">
        <f t="shared" si="3"/>
        <v>0</v>
      </c>
      <c r="S43" s="284">
        <v>0</v>
      </c>
      <c r="T43" s="287">
        <f t="shared" si="4"/>
        <v>0</v>
      </c>
      <c r="U43" s="287"/>
      <c r="V43" s="283"/>
      <c r="W43" s="287"/>
      <c r="X43" s="287"/>
      <c r="Y43" s="287"/>
      <c r="Z43" s="287"/>
      <c r="AA43" s="287"/>
      <c r="AB43" s="287"/>
      <c r="AC43" s="287"/>
      <c r="AD43" s="287"/>
      <c r="AE43" s="287"/>
      <c r="AF43" s="287"/>
      <c r="AG43" s="287"/>
      <c r="AH43" s="287"/>
      <c r="AI43" s="284"/>
      <c r="AJ43" s="284"/>
      <c r="AK43" s="630"/>
      <c r="AL43" s="305"/>
      <c r="AM43" s="305"/>
      <c r="AN43" s="305"/>
      <c r="AO43" s="305"/>
      <c r="AP43" s="305"/>
      <c r="AQ43" s="305"/>
      <c r="AR43" s="305"/>
      <c r="AS43" s="305"/>
      <c r="AT43" s="305"/>
      <c r="AU43" s="305"/>
    </row>
    <row r="44" spans="1:47" s="306" customFormat="1" ht="39">
      <c r="A44" s="308" t="s">
        <v>422</v>
      </c>
      <c r="B44" s="304" t="s">
        <v>540</v>
      </c>
      <c r="C44" s="283" t="s">
        <v>797</v>
      </c>
      <c r="D44" s="284"/>
      <c r="E44" s="284"/>
      <c r="F44" s="284"/>
      <c r="G44" s="284"/>
      <c r="H44" s="284"/>
      <c r="I44" s="284"/>
      <c r="J44" s="284">
        <v>1</v>
      </c>
      <c r="K44" s="287">
        <f t="shared" si="0"/>
        <v>0.39252629926205052</v>
      </c>
      <c r="L44" s="356">
        <v>6</v>
      </c>
      <c r="M44" s="284">
        <f>0+1</f>
        <v>1</v>
      </c>
      <c r="N44" s="287">
        <f t="shared" si="1"/>
        <v>0.19626314963102526</v>
      </c>
      <c r="O44" s="287">
        <f>0+3</f>
        <v>3</v>
      </c>
      <c r="P44" s="284">
        <v>0</v>
      </c>
      <c r="Q44" s="287">
        <f t="shared" si="2"/>
        <v>0</v>
      </c>
      <c r="R44" s="284">
        <f t="shared" si="3"/>
        <v>0</v>
      </c>
      <c r="S44" s="284">
        <v>0</v>
      </c>
      <c r="T44" s="287">
        <f t="shared" si="4"/>
        <v>0</v>
      </c>
      <c r="U44" s="287"/>
      <c r="V44" s="283"/>
      <c r="W44" s="287"/>
      <c r="X44" s="287"/>
      <c r="Y44" s="287"/>
      <c r="Z44" s="287"/>
      <c r="AA44" s="287"/>
      <c r="AB44" s="287"/>
      <c r="AC44" s="287"/>
      <c r="AD44" s="287"/>
      <c r="AE44" s="287"/>
      <c r="AF44" s="287"/>
      <c r="AG44" s="287"/>
      <c r="AH44" s="287"/>
      <c r="AI44" s="284"/>
      <c r="AJ44" s="284"/>
      <c r="AK44" s="630"/>
      <c r="AL44" s="305"/>
      <c r="AM44" s="305"/>
      <c r="AN44" s="305"/>
      <c r="AO44" s="305"/>
      <c r="AP44" s="305"/>
      <c r="AQ44" s="305"/>
      <c r="AR44" s="305"/>
      <c r="AS44" s="305"/>
      <c r="AT44" s="305"/>
      <c r="AU44" s="305"/>
    </row>
    <row r="45" spans="1:47" s="306" customFormat="1" ht="40.5">
      <c r="A45" s="308" t="s">
        <v>423</v>
      </c>
      <c r="B45" s="363" t="s">
        <v>620</v>
      </c>
      <c r="C45" s="283" t="s">
        <v>794</v>
      </c>
      <c r="D45" s="284"/>
      <c r="E45" s="284"/>
      <c r="F45" s="284"/>
      <c r="G45" s="284"/>
      <c r="H45" s="284"/>
      <c r="I45" s="284"/>
      <c r="J45" s="284">
        <v>1</v>
      </c>
      <c r="K45" s="287">
        <f t="shared" si="0"/>
        <v>0.39252629926205052</v>
      </c>
      <c r="L45" s="356">
        <v>6</v>
      </c>
      <c r="M45" s="284">
        <f>0+1</f>
        <v>1</v>
      </c>
      <c r="N45" s="287">
        <f t="shared" si="1"/>
        <v>0.19626314963102526</v>
      </c>
      <c r="O45" s="287">
        <f>0+3</f>
        <v>3</v>
      </c>
      <c r="P45" s="284">
        <v>0</v>
      </c>
      <c r="Q45" s="287">
        <f t="shared" si="2"/>
        <v>0</v>
      </c>
      <c r="R45" s="284">
        <f t="shared" si="3"/>
        <v>0</v>
      </c>
      <c r="S45" s="284">
        <v>0</v>
      </c>
      <c r="T45" s="287">
        <f t="shared" si="4"/>
        <v>0</v>
      </c>
      <c r="U45" s="287">
        <v>0.34</v>
      </c>
      <c r="V45" s="283">
        <v>0.82</v>
      </c>
      <c r="W45" s="287">
        <v>10</v>
      </c>
      <c r="X45" s="287">
        <f t="shared" ref="X45:X46" si="9">U45</f>
        <v>0.34</v>
      </c>
      <c r="Y45" s="287"/>
      <c r="Z45" s="287">
        <v>0.34</v>
      </c>
      <c r="AA45" s="287"/>
      <c r="AB45" s="287"/>
      <c r="AC45" s="287"/>
      <c r="AD45" s="287"/>
      <c r="AE45" s="287"/>
      <c r="AF45" s="287"/>
      <c r="AG45" s="287">
        <v>1</v>
      </c>
      <c r="AH45" s="287">
        <f t="shared" si="8"/>
        <v>0.39252629926205052</v>
      </c>
      <c r="AI45" s="284"/>
      <c r="AJ45" s="284"/>
      <c r="AK45" s="630"/>
      <c r="AL45" s="305"/>
      <c r="AM45" s="305"/>
      <c r="AN45" s="305"/>
      <c r="AO45" s="305"/>
      <c r="AP45" s="305"/>
      <c r="AQ45" s="305"/>
      <c r="AR45" s="305"/>
      <c r="AS45" s="305"/>
      <c r="AT45" s="305"/>
      <c r="AU45" s="305"/>
    </row>
    <row r="46" spans="1:47" s="306" customFormat="1" ht="39">
      <c r="A46" s="308" t="s">
        <v>425</v>
      </c>
      <c r="B46" s="304" t="s">
        <v>540</v>
      </c>
      <c r="C46" s="283" t="s">
        <v>797</v>
      </c>
      <c r="D46" s="284"/>
      <c r="E46" s="284"/>
      <c r="F46" s="284"/>
      <c r="G46" s="284"/>
      <c r="H46" s="284"/>
      <c r="I46" s="284"/>
      <c r="J46" s="284">
        <v>1</v>
      </c>
      <c r="K46" s="287">
        <f t="shared" si="0"/>
        <v>0.39252629926205052</v>
      </c>
      <c r="L46" s="356">
        <v>6</v>
      </c>
      <c r="M46" s="284">
        <f>0+1</f>
        <v>1</v>
      </c>
      <c r="N46" s="287">
        <f t="shared" si="1"/>
        <v>0.19626314963102526</v>
      </c>
      <c r="O46" s="287">
        <f>0+3</f>
        <v>3</v>
      </c>
      <c r="P46" s="284">
        <v>0</v>
      </c>
      <c r="Q46" s="287">
        <f t="shared" si="2"/>
        <v>0</v>
      </c>
      <c r="R46" s="284">
        <f t="shared" si="3"/>
        <v>0</v>
      </c>
      <c r="S46" s="284">
        <v>0</v>
      </c>
      <c r="T46" s="287">
        <f t="shared" si="4"/>
        <v>0</v>
      </c>
      <c r="U46" s="287">
        <v>0.34</v>
      </c>
      <c r="V46" s="283">
        <v>0.28000000000000003</v>
      </c>
      <c r="W46" s="287">
        <v>3.4</v>
      </c>
      <c r="X46" s="287">
        <f t="shared" si="9"/>
        <v>0.34</v>
      </c>
      <c r="Y46" s="287"/>
      <c r="Z46" s="287">
        <f t="shared" si="7"/>
        <v>0.28000000000000003</v>
      </c>
      <c r="AA46" s="287"/>
      <c r="AB46" s="287"/>
      <c r="AC46" s="287"/>
      <c r="AD46" s="287"/>
      <c r="AE46" s="287"/>
      <c r="AF46" s="287"/>
      <c r="AG46" s="287">
        <v>1</v>
      </c>
      <c r="AH46" s="287">
        <f t="shared" si="8"/>
        <v>0.39252629926205052</v>
      </c>
      <c r="AI46" s="284"/>
      <c r="AJ46" s="284"/>
      <c r="AK46" s="630"/>
      <c r="AL46" s="305"/>
      <c r="AM46" s="305"/>
      <c r="AN46" s="305"/>
      <c r="AO46" s="305"/>
      <c r="AP46" s="305"/>
      <c r="AQ46" s="305"/>
      <c r="AR46" s="305"/>
      <c r="AS46" s="305"/>
      <c r="AT46" s="305"/>
      <c r="AU46" s="305"/>
    </row>
    <row r="47" spans="1:47" s="306" customFormat="1" ht="39">
      <c r="A47" s="308" t="s">
        <v>426</v>
      </c>
      <c r="B47" s="304" t="s">
        <v>621</v>
      </c>
      <c r="C47" s="283" t="s">
        <v>794</v>
      </c>
      <c r="D47" s="284"/>
      <c r="E47" s="284"/>
      <c r="F47" s="284"/>
      <c r="G47" s="284"/>
      <c r="H47" s="284"/>
      <c r="I47" s="284"/>
      <c r="J47" s="284">
        <v>1</v>
      </c>
      <c r="K47" s="287">
        <f t="shared" si="0"/>
        <v>0.78505259852410103</v>
      </c>
      <c r="L47" s="356">
        <v>12</v>
      </c>
      <c r="M47" s="284">
        <f>1+1</f>
        <v>2</v>
      </c>
      <c r="N47" s="287">
        <f t="shared" si="1"/>
        <v>0.6542104987700843</v>
      </c>
      <c r="O47" s="287">
        <f>5+5</f>
        <v>10</v>
      </c>
      <c r="P47" s="284">
        <v>0</v>
      </c>
      <c r="Q47" s="287">
        <f t="shared" si="2"/>
        <v>0</v>
      </c>
      <c r="R47" s="284">
        <f t="shared" si="3"/>
        <v>0</v>
      </c>
      <c r="S47" s="284">
        <v>0</v>
      </c>
      <c r="T47" s="287">
        <f t="shared" si="4"/>
        <v>0</v>
      </c>
      <c r="U47" s="287"/>
      <c r="V47" s="283"/>
      <c r="W47" s="287"/>
      <c r="X47" s="287"/>
      <c r="Y47" s="287"/>
      <c r="Z47" s="287"/>
      <c r="AA47" s="287"/>
      <c r="AB47" s="287"/>
      <c r="AC47" s="287"/>
      <c r="AD47" s="287"/>
      <c r="AE47" s="287"/>
      <c r="AF47" s="287"/>
      <c r="AG47" s="287"/>
      <c r="AH47" s="287"/>
      <c r="AI47" s="284"/>
      <c r="AJ47" s="284"/>
      <c r="AK47" s="630"/>
      <c r="AL47" s="305"/>
      <c r="AM47" s="305"/>
      <c r="AN47" s="305"/>
      <c r="AO47" s="305"/>
      <c r="AP47" s="305"/>
      <c r="AQ47" s="305"/>
      <c r="AR47" s="305"/>
      <c r="AS47" s="305"/>
      <c r="AT47" s="305"/>
      <c r="AU47" s="305"/>
    </row>
    <row r="48" spans="1:47" s="306" customFormat="1" ht="39">
      <c r="A48" s="308" t="s">
        <v>428</v>
      </c>
      <c r="B48" s="304" t="s">
        <v>540</v>
      </c>
      <c r="C48" s="283" t="s">
        <v>797</v>
      </c>
      <c r="D48" s="284"/>
      <c r="E48" s="284"/>
      <c r="F48" s="284"/>
      <c r="G48" s="284"/>
      <c r="H48" s="284"/>
      <c r="I48" s="284"/>
      <c r="J48" s="284">
        <v>1</v>
      </c>
      <c r="K48" s="287">
        <f t="shared" si="0"/>
        <v>0.78505259852410103</v>
      </c>
      <c r="L48" s="356">
        <v>12</v>
      </c>
      <c r="M48" s="284">
        <f>1+1</f>
        <v>2</v>
      </c>
      <c r="N48" s="287">
        <f t="shared" si="1"/>
        <v>0.6542104987700843</v>
      </c>
      <c r="O48" s="287">
        <f>5+5</f>
        <v>10</v>
      </c>
      <c r="P48" s="284">
        <v>0.1</v>
      </c>
      <c r="Q48" s="287">
        <f t="shared" si="2"/>
        <v>3.2710524938504217E-2</v>
      </c>
      <c r="R48" s="284">
        <f t="shared" si="3"/>
        <v>5</v>
      </c>
      <c r="S48" s="284">
        <v>0</v>
      </c>
      <c r="T48" s="287">
        <f t="shared" si="4"/>
        <v>0</v>
      </c>
      <c r="U48" s="287"/>
      <c r="V48" s="283"/>
      <c r="W48" s="287"/>
      <c r="X48" s="287"/>
      <c r="Y48" s="287"/>
      <c r="Z48" s="287"/>
      <c r="AA48" s="287"/>
      <c r="AB48" s="287"/>
      <c r="AC48" s="287"/>
      <c r="AD48" s="287"/>
      <c r="AE48" s="287"/>
      <c r="AF48" s="287"/>
      <c r="AG48" s="287"/>
      <c r="AH48" s="287"/>
      <c r="AI48" s="284"/>
      <c r="AJ48" s="284"/>
      <c r="AK48" s="630"/>
      <c r="AL48" s="305"/>
      <c r="AM48" s="305"/>
      <c r="AN48" s="305"/>
      <c r="AO48" s="305"/>
      <c r="AP48" s="305"/>
      <c r="AQ48" s="305"/>
      <c r="AR48" s="305"/>
      <c r="AS48" s="305"/>
      <c r="AT48" s="305"/>
      <c r="AU48" s="305"/>
    </row>
    <row r="49" spans="1:47" s="306" customFormat="1" ht="39">
      <c r="A49" s="308" t="s">
        <v>429</v>
      </c>
      <c r="B49" s="304" t="s">
        <v>622</v>
      </c>
      <c r="C49" s="283" t="s">
        <v>794</v>
      </c>
      <c r="D49" s="284"/>
      <c r="E49" s="284"/>
      <c r="F49" s="284"/>
      <c r="G49" s="284"/>
      <c r="H49" s="284"/>
      <c r="I49" s="284"/>
      <c r="J49" s="284">
        <v>1</v>
      </c>
      <c r="K49" s="287">
        <f t="shared" si="0"/>
        <v>3.9252629926205054</v>
      </c>
      <c r="L49" s="356">
        <v>60</v>
      </c>
      <c r="M49" s="284">
        <f>1+1</f>
        <v>2</v>
      </c>
      <c r="N49" s="287">
        <f t="shared" si="1"/>
        <v>2.9439472444653796</v>
      </c>
      <c r="O49" s="287">
        <f>15+30</f>
        <v>45</v>
      </c>
      <c r="P49" s="284"/>
      <c r="Q49" s="287">
        <f t="shared" si="2"/>
        <v>0</v>
      </c>
      <c r="R49" s="284">
        <f t="shared" si="3"/>
        <v>0</v>
      </c>
      <c r="S49" s="284">
        <v>0</v>
      </c>
      <c r="T49" s="287">
        <f t="shared" si="4"/>
        <v>0</v>
      </c>
      <c r="U49" s="287"/>
      <c r="V49" s="283"/>
      <c r="W49" s="287"/>
      <c r="X49" s="287"/>
      <c r="Y49" s="287"/>
      <c r="Z49" s="287"/>
      <c r="AA49" s="287"/>
      <c r="AB49" s="287"/>
      <c r="AC49" s="287"/>
      <c r="AD49" s="287"/>
      <c r="AE49" s="287"/>
      <c r="AF49" s="287"/>
      <c r="AG49" s="287"/>
      <c r="AH49" s="287"/>
      <c r="AI49" s="284"/>
      <c r="AJ49" s="284"/>
      <c r="AK49" s="630"/>
      <c r="AL49" s="305"/>
      <c r="AM49" s="305"/>
      <c r="AN49" s="305"/>
      <c r="AO49" s="305"/>
      <c r="AP49" s="305"/>
      <c r="AQ49" s="305"/>
      <c r="AR49" s="305"/>
      <c r="AS49" s="305"/>
      <c r="AT49" s="305"/>
      <c r="AU49" s="305"/>
    </row>
    <row r="50" spans="1:47" s="306" customFormat="1" ht="39">
      <c r="A50" s="308" t="s">
        <v>431</v>
      </c>
      <c r="B50" s="304" t="s">
        <v>540</v>
      </c>
      <c r="C50" s="283" t="s">
        <v>797</v>
      </c>
      <c r="D50" s="284"/>
      <c r="E50" s="284"/>
      <c r="F50" s="284"/>
      <c r="G50" s="284"/>
      <c r="H50" s="284"/>
      <c r="I50" s="284"/>
      <c r="J50" s="284">
        <v>1</v>
      </c>
      <c r="K50" s="287">
        <f t="shared" si="0"/>
        <v>3.9252629926205054</v>
      </c>
      <c r="L50" s="356">
        <v>60</v>
      </c>
      <c r="M50" s="284">
        <f>1+1</f>
        <v>2</v>
      </c>
      <c r="N50" s="287">
        <f t="shared" si="1"/>
        <v>2.9439472444653796</v>
      </c>
      <c r="O50" s="287">
        <f>15+30</f>
        <v>45</v>
      </c>
      <c r="P50" s="284">
        <v>0.3</v>
      </c>
      <c r="Q50" s="287">
        <f t="shared" si="2"/>
        <v>0.44159208666980693</v>
      </c>
      <c r="R50" s="284">
        <f t="shared" si="3"/>
        <v>15</v>
      </c>
      <c r="S50" s="284">
        <v>0</v>
      </c>
      <c r="T50" s="287">
        <f t="shared" si="4"/>
        <v>0</v>
      </c>
      <c r="U50" s="287"/>
      <c r="V50" s="283"/>
      <c r="W50" s="287"/>
      <c r="X50" s="287"/>
      <c r="Y50" s="287"/>
      <c r="Z50" s="287"/>
      <c r="AA50" s="287"/>
      <c r="AB50" s="287"/>
      <c r="AC50" s="287"/>
      <c r="AD50" s="287"/>
      <c r="AE50" s="287"/>
      <c r="AF50" s="287"/>
      <c r="AG50" s="287"/>
      <c r="AH50" s="287"/>
      <c r="AI50" s="284"/>
      <c r="AJ50" s="284"/>
      <c r="AK50" s="630"/>
      <c r="AL50" s="305"/>
      <c r="AM50" s="305"/>
      <c r="AN50" s="305"/>
      <c r="AO50" s="305"/>
      <c r="AP50" s="305"/>
      <c r="AQ50" s="305"/>
      <c r="AR50" s="305"/>
      <c r="AS50" s="305"/>
      <c r="AT50" s="305"/>
      <c r="AU50" s="305"/>
    </row>
    <row r="51" spans="1:47" s="306" customFormat="1" ht="58.5">
      <c r="A51" s="308" t="s">
        <v>432</v>
      </c>
      <c r="B51" s="304" t="s">
        <v>623</v>
      </c>
      <c r="C51" s="283" t="s">
        <v>794</v>
      </c>
      <c r="D51" s="284"/>
      <c r="E51" s="284"/>
      <c r="F51" s="284"/>
      <c r="G51" s="284"/>
      <c r="H51" s="284"/>
      <c r="I51" s="284"/>
      <c r="J51" s="284">
        <v>1</v>
      </c>
      <c r="K51" s="287">
        <f t="shared" si="0"/>
        <v>0.26168419950803373</v>
      </c>
      <c r="L51" s="356">
        <v>4</v>
      </c>
      <c r="M51" s="284">
        <f t="shared" ref="M51:M58" si="10">0+1</f>
        <v>1</v>
      </c>
      <c r="N51" s="287">
        <f t="shared" si="1"/>
        <v>0.13084209975401687</v>
      </c>
      <c r="O51" s="287">
        <f t="shared" ref="O51:O58" si="11">0+2</f>
        <v>2</v>
      </c>
      <c r="P51" s="284">
        <v>0</v>
      </c>
      <c r="Q51" s="287">
        <f t="shared" si="2"/>
        <v>0</v>
      </c>
      <c r="R51" s="284">
        <f t="shared" si="3"/>
        <v>0</v>
      </c>
      <c r="S51" s="284">
        <v>0</v>
      </c>
      <c r="T51" s="287">
        <f t="shared" si="4"/>
        <v>0</v>
      </c>
      <c r="U51" s="287"/>
      <c r="V51" s="283"/>
      <c r="W51" s="287"/>
      <c r="X51" s="287"/>
      <c r="Y51" s="287"/>
      <c r="Z51" s="287"/>
      <c r="AA51" s="287"/>
      <c r="AB51" s="287"/>
      <c r="AC51" s="287"/>
      <c r="AD51" s="287"/>
      <c r="AE51" s="287"/>
      <c r="AF51" s="287"/>
      <c r="AG51" s="287"/>
      <c r="AH51" s="287"/>
      <c r="AI51" s="284"/>
      <c r="AJ51" s="284"/>
      <c r="AK51" s="630"/>
      <c r="AL51" s="305"/>
      <c r="AM51" s="305"/>
      <c r="AN51" s="305"/>
      <c r="AO51" s="305"/>
      <c r="AP51" s="305"/>
      <c r="AQ51" s="305"/>
      <c r="AR51" s="305"/>
      <c r="AS51" s="305"/>
      <c r="AT51" s="305"/>
      <c r="AU51" s="305"/>
    </row>
    <row r="52" spans="1:47" s="306" customFormat="1" ht="39">
      <c r="A52" s="308" t="s">
        <v>434</v>
      </c>
      <c r="B52" s="304" t="s">
        <v>540</v>
      </c>
      <c r="C52" s="283" t="s">
        <v>797</v>
      </c>
      <c r="D52" s="284"/>
      <c r="E52" s="284"/>
      <c r="F52" s="284"/>
      <c r="G52" s="284"/>
      <c r="H52" s="284"/>
      <c r="I52" s="284"/>
      <c r="J52" s="284">
        <v>1</v>
      </c>
      <c r="K52" s="287">
        <f t="shared" si="0"/>
        <v>0.26168419950803373</v>
      </c>
      <c r="L52" s="356">
        <v>4</v>
      </c>
      <c r="M52" s="284">
        <f t="shared" si="10"/>
        <v>1</v>
      </c>
      <c r="N52" s="287">
        <f t="shared" si="1"/>
        <v>0.13084209975401687</v>
      </c>
      <c r="O52" s="287">
        <f t="shared" si="11"/>
        <v>2</v>
      </c>
      <c r="P52" s="284">
        <v>0</v>
      </c>
      <c r="Q52" s="287">
        <f t="shared" si="2"/>
        <v>0</v>
      </c>
      <c r="R52" s="284">
        <f t="shared" si="3"/>
        <v>0</v>
      </c>
      <c r="S52" s="284">
        <v>0</v>
      </c>
      <c r="T52" s="287">
        <f t="shared" si="4"/>
        <v>0</v>
      </c>
      <c r="U52" s="287"/>
      <c r="V52" s="283"/>
      <c r="W52" s="287"/>
      <c r="X52" s="287"/>
      <c r="Y52" s="287"/>
      <c r="Z52" s="287"/>
      <c r="AA52" s="287"/>
      <c r="AB52" s="287"/>
      <c r="AC52" s="287"/>
      <c r="AD52" s="287"/>
      <c r="AE52" s="287"/>
      <c r="AF52" s="287"/>
      <c r="AG52" s="287"/>
      <c r="AH52" s="287"/>
      <c r="AI52" s="284"/>
      <c r="AJ52" s="284"/>
      <c r="AK52" s="630"/>
      <c r="AL52" s="305"/>
      <c r="AM52" s="305"/>
      <c r="AN52" s="305"/>
      <c r="AO52" s="305"/>
      <c r="AP52" s="305"/>
      <c r="AQ52" s="305"/>
      <c r="AR52" s="305"/>
      <c r="AS52" s="305"/>
      <c r="AT52" s="305"/>
      <c r="AU52" s="305"/>
    </row>
    <row r="53" spans="1:47" s="306" customFormat="1" ht="58.5">
      <c r="A53" s="308" t="s">
        <v>435</v>
      </c>
      <c r="B53" s="304" t="s">
        <v>624</v>
      </c>
      <c r="C53" s="283" t="s">
        <v>794</v>
      </c>
      <c r="D53" s="284"/>
      <c r="E53" s="284"/>
      <c r="F53" s="284"/>
      <c r="G53" s="284"/>
      <c r="H53" s="284"/>
      <c r="I53" s="284"/>
      <c r="J53" s="284">
        <v>1</v>
      </c>
      <c r="K53" s="287">
        <f t="shared" si="0"/>
        <v>0.26168419950803373</v>
      </c>
      <c r="L53" s="356">
        <v>4</v>
      </c>
      <c r="M53" s="284">
        <f t="shared" si="10"/>
        <v>1</v>
      </c>
      <c r="N53" s="287">
        <f t="shared" si="1"/>
        <v>0.13084209975401687</v>
      </c>
      <c r="O53" s="287">
        <f t="shared" si="11"/>
        <v>2</v>
      </c>
      <c r="P53" s="284">
        <v>0</v>
      </c>
      <c r="Q53" s="287">
        <f t="shared" si="2"/>
        <v>0</v>
      </c>
      <c r="R53" s="284">
        <f t="shared" si="3"/>
        <v>0</v>
      </c>
      <c r="S53" s="284">
        <v>0</v>
      </c>
      <c r="T53" s="287">
        <f t="shared" si="4"/>
        <v>0</v>
      </c>
      <c r="U53" s="287"/>
      <c r="V53" s="283"/>
      <c r="W53" s="287"/>
      <c r="X53" s="287"/>
      <c r="Y53" s="287"/>
      <c r="Z53" s="287"/>
      <c r="AA53" s="287"/>
      <c r="AB53" s="287"/>
      <c r="AC53" s="287"/>
      <c r="AD53" s="287"/>
      <c r="AE53" s="287"/>
      <c r="AF53" s="287"/>
      <c r="AG53" s="287"/>
      <c r="AH53" s="287"/>
      <c r="AI53" s="284"/>
      <c r="AJ53" s="284"/>
      <c r="AK53" s="630"/>
      <c r="AL53" s="305"/>
      <c r="AM53" s="305"/>
      <c r="AN53" s="305"/>
      <c r="AO53" s="305"/>
      <c r="AP53" s="305"/>
      <c r="AQ53" s="305"/>
      <c r="AR53" s="305"/>
      <c r="AS53" s="305"/>
      <c r="AT53" s="305"/>
      <c r="AU53" s="305"/>
    </row>
    <row r="54" spans="1:47" s="306" customFormat="1" ht="39">
      <c r="A54" s="308" t="s">
        <v>437</v>
      </c>
      <c r="B54" s="304" t="s">
        <v>540</v>
      </c>
      <c r="C54" s="283" t="s">
        <v>797</v>
      </c>
      <c r="D54" s="284"/>
      <c r="E54" s="284"/>
      <c r="F54" s="284"/>
      <c r="G54" s="284"/>
      <c r="H54" s="284"/>
      <c r="I54" s="284"/>
      <c r="J54" s="284">
        <v>1</v>
      </c>
      <c r="K54" s="287">
        <f t="shared" si="0"/>
        <v>0.26168419950803373</v>
      </c>
      <c r="L54" s="356">
        <v>4</v>
      </c>
      <c r="M54" s="284">
        <f t="shared" si="10"/>
        <v>1</v>
      </c>
      <c r="N54" s="287">
        <f t="shared" si="1"/>
        <v>0.13084209975401687</v>
      </c>
      <c r="O54" s="287">
        <f t="shared" si="11"/>
        <v>2</v>
      </c>
      <c r="P54" s="284">
        <v>0</v>
      </c>
      <c r="Q54" s="287">
        <f t="shared" si="2"/>
        <v>0</v>
      </c>
      <c r="R54" s="284">
        <f t="shared" si="3"/>
        <v>0</v>
      </c>
      <c r="S54" s="284">
        <v>0</v>
      </c>
      <c r="T54" s="287">
        <f t="shared" si="4"/>
        <v>0</v>
      </c>
      <c r="U54" s="287"/>
      <c r="V54" s="283"/>
      <c r="W54" s="287"/>
      <c r="X54" s="287"/>
      <c r="Y54" s="287"/>
      <c r="Z54" s="287"/>
      <c r="AA54" s="287"/>
      <c r="AB54" s="287"/>
      <c r="AC54" s="287"/>
      <c r="AD54" s="287"/>
      <c r="AE54" s="287"/>
      <c r="AF54" s="287"/>
      <c r="AG54" s="287"/>
      <c r="AH54" s="287"/>
      <c r="AI54" s="284"/>
      <c r="AJ54" s="284"/>
      <c r="AK54" s="630"/>
      <c r="AL54" s="305"/>
      <c r="AM54" s="305"/>
      <c r="AN54" s="305"/>
      <c r="AO54" s="305"/>
      <c r="AP54" s="305"/>
      <c r="AQ54" s="305"/>
      <c r="AR54" s="305"/>
      <c r="AS54" s="305"/>
      <c r="AT54" s="305"/>
      <c r="AU54" s="305"/>
    </row>
    <row r="55" spans="1:47" s="306" customFormat="1" ht="39">
      <c r="A55" s="308" t="s">
        <v>438</v>
      </c>
      <c r="B55" s="304" t="s">
        <v>625</v>
      </c>
      <c r="C55" s="283" t="s">
        <v>794</v>
      </c>
      <c r="D55" s="284"/>
      <c r="E55" s="284"/>
      <c r="F55" s="284"/>
      <c r="G55" s="284"/>
      <c r="H55" s="284"/>
      <c r="I55" s="284"/>
      <c r="J55" s="284">
        <v>1</v>
      </c>
      <c r="K55" s="287">
        <f t="shared" si="0"/>
        <v>0.26168419950803373</v>
      </c>
      <c r="L55" s="356">
        <v>4</v>
      </c>
      <c r="M55" s="284">
        <f t="shared" si="10"/>
        <v>1</v>
      </c>
      <c r="N55" s="287">
        <f t="shared" si="1"/>
        <v>0.13084209975401687</v>
      </c>
      <c r="O55" s="287">
        <f t="shared" si="11"/>
        <v>2</v>
      </c>
      <c r="P55" s="284">
        <v>0</v>
      </c>
      <c r="Q55" s="287">
        <f t="shared" si="2"/>
        <v>0</v>
      </c>
      <c r="R55" s="284">
        <f t="shared" si="3"/>
        <v>0</v>
      </c>
      <c r="S55" s="284">
        <v>0</v>
      </c>
      <c r="T55" s="287">
        <f t="shared" si="4"/>
        <v>0</v>
      </c>
      <c r="U55" s="287"/>
      <c r="V55" s="283"/>
      <c r="W55" s="287"/>
      <c r="X55" s="287"/>
      <c r="Y55" s="287"/>
      <c r="Z55" s="287"/>
      <c r="AA55" s="287"/>
      <c r="AB55" s="287"/>
      <c r="AC55" s="287"/>
      <c r="AD55" s="287"/>
      <c r="AE55" s="287"/>
      <c r="AF55" s="287"/>
      <c r="AG55" s="287"/>
      <c r="AH55" s="287"/>
      <c r="AI55" s="284"/>
      <c r="AJ55" s="284"/>
      <c r="AK55" s="630"/>
      <c r="AL55" s="305"/>
      <c r="AM55" s="305"/>
      <c r="AN55" s="305"/>
      <c r="AO55" s="305"/>
      <c r="AP55" s="305"/>
      <c r="AQ55" s="305"/>
      <c r="AR55" s="305"/>
      <c r="AS55" s="305"/>
      <c r="AT55" s="305"/>
      <c r="AU55" s="305"/>
    </row>
    <row r="56" spans="1:47" s="306" customFormat="1" ht="39">
      <c r="A56" s="308" t="s">
        <v>440</v>
      </c>
      <c r="B56" s="304" t="s">
        <v>540</v>
      </c>
      <c r="C56" s="283" t="s">
        <v>797</v>
      </c>
      <c r="D56" s="284"/>
      <c r="E56" s="284"/>
      <c r="F56" s="284"/>
      <c r="G56" s="284"/>
      <c r="H56" s="284"/>
      <c r="I56" s="284"/>
      <c r="J56" s="284">
        <v>1</v>
      </c>
      <c r="K56" s="287">
        <f t="shared" si="0"/>
        <v>0.26168419950803373</v>
      </c>
      <c r="L56" s="356">
        <v>4</v>
      </c>
      <c r="M56" s="284">
        <f t="shared" si="10"/>
        <v>1</v>
      </c>
      <c r="N56" s="287">
        <f t="shared" si="1"/>
        <v>0.13084209975401687</v>
      </c>
      <c r="O56" s="287">
        <f t="shared" si="11"/>
        <v>2</v>
      </c>
      <c r="P56" s="284">
        <v>0</v>
      </c>
      <c r="Q56" s="287">
        <f t="shared" si="2"/>
        <v>0</v>
      </c>
      <c r="R56" s="284">
        <f t="shared" si="3"/>
        <v>0</v>
      </c>
      <c r="S56" s="284">
        <v>0</v>
      </c>
      <c r="T56" s="287">
        <f t="shared" si="4"/>
        <v>0</v>
      </c>
      <c r="U56" s="287"/>
      <c r="V56" s="283"/>
      <c r="W56" s="287"/>
      <c r="X56" s="287"/>
      <c r="Y56" s="287"/>
      <c r="Z56" s="287"/>
      <c r="AA56" s="287"/>
      <c r="AB56" s="287"/>
      <c r="AC56" s="287"/>
      <c r="AD56" s="287"/>
      <c r="AE56" s="287"/>
      <c r="AF56" s="287"/>
      <c r="AG56" s="287"/>
      <c r="AH56" s="287"/>
      <c r="AI56" s="284"/>
      <c r="AJ56" s="284"/>
      <c r="AK56" s="630"/>
      <c r="AL56" s="305"/>
      <c r="AM56" s="305"/>
      <c r="AN56" s="305"/>
      <c r="AO56" s="305"/>
      <c r="AP56" s="305"/>
      <c r="AQ56" s="305"/>
      <c r="AR56" s="305"/>
      <c r="AS56" s="305"/>
      <c r="AT56" s="305"/>
      <c r="AU56" s="305"/>
    </row>
    <row r="57" spans="1:47" s="306" customFormat="1" ht="58.5">
      <c r="A57" s="308" t="s">
        <v>441</v>
      </c>
      <c r="B57" s="304" t="s">
        <v>626</v>
      </c>
      <c r="C57" s="283" t="s">
        <v>794</v>
      </c>
      <c r="D57" s="284"/>
      <c r="E57" s="284"/>
      <c r="F57" s="284"/>
      <c r="G57" s="284"/>
      <c r="H57" s="284"/>
      <c r="I57" s="284"/>
      <c r="J57" s="284">
        <v>1</v>
      </c>
      <c r="K57" s="287">
        <f t="shared" si="0"/>
        <v>0.26168419950803373</v>
      </c>
      <c r="L57" s="356">
        <v>4</v>
      </c>
      <c r="M57" s="284">
        <f t="shared" si="10"/>
        <v>1</v>
      </c>
      <c r="N57" s="287">
        <f t="shared" si="1"/>
        <v>0.13084209975401687</v>
      </c>
      <c r="O57" s="287">
        <f t="shared" si="11"/>
        <v>2</v>
      </c>
      <c r="P57" s="284">
        <v>0</v>
      </c>
      <c r="Q57" s="287">
        <f t="shared" si="2"/>
        <v>0</v>
      </c>
      <c r="R57" s="284">
        <f t="shared" si="3"/>
        <v>0</v>
      </c>
      <c r="S57" s="284">
        <v>0</v>
      </c>
      <c r="T57" s="287">
        <f t="shared" si="4"/>
        <v>0</v>
      </c>
      <c r="U57" s="287"/>
      <c r="V57" s="283"/>
      <c r="W57" s="287"/>
      <c r="X57" s="287"/>
      <c r="Y57" s="287"/>
      <c r="Z57" s="287"/>
      <c r="AA57" s="287"/>
      <c r="AB57" s="287"/>
      <c r="AC57" s="287"/>
      <c r="AD57" s="287"/>
      <c r="AE57" s="287"/>
      <c r="AF57" s="287"/>
      <c r="AG57" s="287"/>
      <c r="AH57" s="287"/>
      <c r="AI57" s="284"/>
      <c r="AJ57" s="284"/>
      <c r="AK57" s="630"/>
      <c r="AL57" s="305"/>
      <c r="AM57" s="305"/>
      <c r="AN57" s="305"/>
      <c r="AO57" s="305"/>
      <c r="AP57" s="305"/>
      <c r="AQ57" s="305"/>
      <c r="AR57" s="305"/>
      <c r="AS57" s="305"/>
      <c r="AT57" s="305"/>
      <c r="AU57" s="305"/>
    </row>
    <row r="58" spans="1:47" s="306" customFormat="1" ht="39">
      <c r="A58" s="308" t="s">
        <v>443</v>
      </c>
      <c r="B58" s="304" t="s">
        <v>540</v>
      </c>
      <c r="C58" s="283" t="s">
        <v>797</v>
      </c>
      <c r="D58" s="284"/>
      <c r="E58" s="284"/>
      <c r="F58" s="284"/>
      <c r="G58" s="284"/>
      <c r="H58" s="284"/>
      <c r="I58" s="284"/>
      <c r="J58" s="284">
        <v>1</v>
      </c>
      <c r="K58" s="287">
        <f t="shared" si="0"/>
        <v>0.26168419950803373</v>
      </c>
      <c r="L58" s="356">
        <v>4</v>
      </c>
      <c r="M58" s="284">
        <f t="shared" si="10"/>
        <v>1</v>
      </c>
      <c r="N58" s="287">
        <f t="shared" si="1"/>
        <v>0.13084209975401687</v>
      </c>
      <c r="O58" s="287">
        <f t="shared" si="11"/>
        <v>2</v>
      </c>
      <c r="P58" s="284">
        <v>0</v>
      </c>
      <c r="Q58" s="287">
        <f t="shared" si="2"/>
        <v>0</v>
      </c>
      <c r="R58" s="284">
        <f t="shared" si="3"/>
        <v>0</v>
      </c>
      <c r="S58" s="284">
        <v>0</v>
      </c>
      <c r="T58" s="287">
        <f t="shared" si="4"/>
        <v>0</v>
      </c>
      <c r="U58" s="287"/>
      <c r="V58" s="283"/>
      <c r="W58" s="287"/>
      <c r="X58" s="287"/>
      <c r="Y58" s="287"/>
      <c r="Z58" s="287"/>
      <c r="AA58" s="287"/>
      <c r="AB58" s="287"/>
      <c r="AC58" s="287"/>
      <c r="AD58" s="287"/>
      <c r="AE58" s="287"/>
      <c r="AF58" s="287"/>
      <c r="AG58" s="287"/>
      <c r="AH58" s="287"/>
      <c r="AI58" s="284"/>
      <c r="AJ58" s="284"/>
      <c r="AK58" s="630"/>
      <c r="AL58" s="305"/>
      <c r="AM58" s="305"/>
      <c r="AN58" s="305"/>
      <c r="AO58" s="305"/>
      <c r="AP58" s="305"/>
      <c r="AQ58" s="305"/>
      <c r="AR58" s="305"/>
      <c r="AS58" s="305"/>
      <c r="AT58" s="305"/>
      <c r="AU58" s="305"/>
    </row>
    <row r="59" spans="1:47" s="306" customFormat="1" ht="39">
      <c r="A59" s="308" t="s">
        <v>444</v>
      </c>
      <c r="B59" s="304" t="s">
        <v>809</v>
      </c>
      <c r="C59" s="283" t="s">
        <v>794</v>
      </c>
      <c r="D59" s="284"/>
      <c r="E59" s="284"/>
      <c r="F59" s="284"/>
      <c r="G59" s="284"/>
      <c r="H59" s="284"/>
      <c r="I59" s="284"/>
      <c r="J59" s="284">
        <v>82.6</v>
      </c>
      <c r="K59" s="287">
        <f t="shared" si="0"/>
        <v>1.2429999476631601</v>
      </c>
      <c r="L59" s="356">
        <v>19</v>
      </c>
      <c r="M59" s="284">
        <f>20+40</f>
        <v>60</v>
      </c>
      <c r="N59" s="287">
        <f t="shared" si="1"/>
        <v>0.90281048830271626</v>
      </c>
      <c r="O59" s="287">
        <f>4.6+9.2</f>
        <v>13.799999999999999</v>
      </c>
      <c r="P59" s="284">
        <v>0</v>
      </c>
      <c r="Q59" s="287">
        <f t="shared" si="2"/>
        <v>0</v>
      </c>
      <c r="R59" s="284">
        <f t="shared" si="3"/>
        <v>0</v>
      </c>
      <c r="S59" s="284">
        <v>0</v>
      </c>
      <c r="T59" s="287">
        <f t="shared" si="4"/>
        <v>0</v>
      </c>
      <c r="U59" s="287"/>
      <c r="V59" s="283"/>
      <c r="W59" s="287"/>
      <c r="X59" s="287"/>
      <c r="Y59" s="287"/>
      <c r="Z59" s="287"/>
      <c r="AA59" s="287"/>
      <c r="AB59" s="287"/>
      <c r="AC59" s="287"/>
      <c r="AD59" s="287"/>
      <c r="AE59" s="287"/>
      <c r="AF59" s="287"/>
      <c r="AG59" s="287"/>
      <c r="AH59" s="287"/>
      <c r="AI59" s="284"/>
      <c r="AJ59" s="284"/>
      <c r="AK59" s="631"/>
      <c r="AL59" s="305"/>
      <c r="AM59" s="305"/>
      <c r="AN59" s="305"/>
      <c r="AO59" s="305"/>
      <c r="AP59" s="305"/>
      <c r="AQ59" s="305"/>
      <c r="AR59" s="305"/>
      <c r="AS59" s="305"/>
      <c r="AT59" s="305"/>
      <c r="AU59" s="305"/>
    </row>
    <row r="60" spans="1:47" s="306" customFormat="1" ht="39">
      <c r="A60" s="308" t="s">
        <v>446</v>
      </c>
      <c r="B60" s="304" t="s">
        <v>540</v>
      </c>
      <c r="C60" s="283" t="s">
        <v>797</v>
      </c>
      <c r="D60" s="284"/>
      <c r="E60" s="284"/>
      <c r="F60" s="284"/>
      <c r="G60" s="284"/>
      <c r="H60" s="284"/>
      <c r="I60" s="284"/>
      <c r="J60" s="284">
        <v>82.6</v>
      </c>
      <c r="K60" s="287">
        <f t="shared" si="0"/>
        <v>1.2429999476631601</v>
      </c>
      <c r="L60" s="356">
        <v>19</v>
      </c>
      <c r="M60" s="284">
        <f>20+40</f>
        <v>60</v>
      </c>
      <c r="N60" s="287">
        <f t="shared" si="1"/>
        <v>0.90281048830271626</v>
      </c>
      <c r="O60" s="287">
        <f>4.6+9.2</f>
        <v>13.799999999999999</v>
      </c>
      <c r="P60" s="284">
        <v>20</v>
      </c>
      <c r="Q60" s="287">
        <f t="shared" si="2"/>
        <v>0.30093682943423872</v>
      </c>
      <c r="R60" s="284">
        <f t="shared" si="3"/>
        <v>33.33</v>
      </c>
      <c r="S60" s="284">
        <v>0</v>
      </c>
      <c r="T60" s="287">
        <f t="shared" si="4"/>
        <v>0</v>
      </c>
      <c r="U60" s="287"/>
      <c r="V60" s="283"/>
      <c r="W60" s="287"/>
      <c r="X60" s="287"/>
      <c r="Y60" s="287"/>
      <c r="Z60" s="287"/>
      <c r="AA60" s="287"/>
      <c r="AB60" s="287"/>
      <c r="AC60" s="287"/>
      <c r="AD60" s="287"/>
      <c r="AE60" s="287"/>
      <c r="AF60" s="287"/>
      <c r="AG60" s="287"/>
      <c r="AH60" s="287"/>
      <c r="AI60" s="284"/>
      <c r="AJ60" s="284"/>
      <c r="AK60" s="360"/>
      <c r="AL60" s="305"/>
      <c r="AM60" s="305"/>
      <c r="AN60" s="305"/>
      <c r="AO60" s="305"/>
      <c r="AP60" s="305"/>
      <c r="AQ60" s="305"/>
      <c r="AR60" s="305"/>
      <c r="AS60" s="305"/>
      <c r="AT60" s="305"/>
      <c r="AU60" s="305"/>
    </row>
    <row r="61" spans="1:47" s="306" customFormat="1" ht="39">
      <c r="A61" s="308" t="s">
        <v>447</v>
      </c>
      <c r="B61" s="304" t="s">
        <v>628</v>
      </c>
      <c r="C61" s="283" t="s">
        <v>794</v>
      </c>
      <c r="D61" s="284"/>
      <c r="E61" s="284"/>
      <c r="F61" s="284"/>
      <c r="G61" s="284"/>
      <c r="H61" s="284"/>
      <c r="I61" s="284"/>
      <c r="J61" s="284">
        <v>1</v>
      </c>
      <c r="K61" s="287">
        <f t="shared" si="0"/>
        <v>0.39252629926205052</v>
      </c>
      <c r="L61" s="356">
        <v>6</v>
      </c>
      <c r="M61" s="284">
        <f>0+1</f>
        <v>1</v>
      </c>
      <c r="N61" s="287">
        <f t="shared" si="1"/>
        <v>0.19626314963102526</v>
      </c>
      <c r="O61" s="287">
        <f>0+3</f>
        <v>3</v>
      </c>
      <c r="P61" s="284">
        <v>0</v>
      </c>
      <c r="Q61" s="287">
        <f t="shared" si="2"/>
        <v>0</v>
      </c>
      <c r="R61" s="284">
        <f t="shared" si="3"/>
        <v>0</v>
      </c>
      <c r="S61" s="284">
        <v>0</v>
      </c>
      <c r="T61" s="287">
        <f t="shared" si="4"/>
        <v>0</v>
      </c>
      <c r="U61" s="287"/>
      <c r="V61" s="283"/>
      <c r="W61" s="287"/>
      <c r="X61" s="287"/>
      <c r="Y61" s="287"/>
      <c r="Z61" s="287"/>
      <c r="AA61" s="287"/>
      <c r="AB61" s="287"/>
      <c r="AC61" s="287"/>
      <c r="AD61" s="287"/>
      <c r="AE61" s="287"/>
      <c r="AF61" s="287"/>
      <c r="AG61" s="287"/>
      <c r="AH61" s="287"/>
      <c r="AI61" s="284"/>
      <c r="AJ61" s="284"/>
      <c r="AK61" s="360"/>
      <c r="AL61" s="305"/>
      <c r="AM61" s="305"/>
      <c r="AN61" s="305"/>
      <c r="AO61" s="305"/>
      <c r="AP61" s="305"/>
      <c r="AQ61" s="305"/>
      <c r="AR61" s="305"/>
      <c r="AS61" s="305"/>
      <c r="AT61" s="305"/>
      <c r="AU61" s="305"/>
    </row>
    <row r="62" spans="1:47" s="306" customFormat="1" ht="39">
      <c r="A62" s="308" t="s">
        <v>449</v>
      </c>
      <c r="B62" s="304" t="s">
        <v>540</v>
      </c>
      <c r="C62" s="283" t="s">
        <v>797</v>
      </c>
      <c r="D62" s="284"/>
      <c r="E62" s="284"/>
      <c r="F62" s="284"/>
      <c r="G62" s="284"/>
      <c r="H62" s="284"/>
      <c r="I62" s="284"/>
      <c r="J62" s="284">
        <v>1</v>
      </c>
      <c r="K62" s="287">
        <f t="shared" si="0"/>
        <v>0.39252629926205052</v>
      </c>
      <c r="L62" s="356">
        <v>6</v>
      </c>
      <c r="M62" s="284">
        <f>0+1</f>
        <v>1</v>
      </c>
      <c r="N62" s="287">
        <f t="shared" si="1"/>
        <v>0.19626314963102526</v>
      </c>
      <c r="O62" s="287">
        <f>0+3</f>
        <v>3</v>
      </c>
      <c r="P62" s="284">
        <v>0</v>
      </c>
      <c r="Q62" s="287">
        <f t="shared" si="2"/>
        <v>0</v>
      </c>
      <c r="R62" s="284">
        <f t="shared" si="3"/>
        <v>0</v>
      </c>
      <c r="S62" s="284">
        <v>0</v>
      </c>
      <c r="T62" s="287">
        <f t="shared" si="4"/>
        <v>0</v>
      </c>
      <c r="U62" s="287"/>
      <c r="V62" s="283"/>
      <c r="W62" s="287"/>
      <c r="X62" s="287"/>
      <c r="Y62" s="287"/>
      <c r="Z62" s="287"/>
      <c r="AA62" s="287"/>
      <c r="AB62" s="287"/>
      <c r="AC62" s="287"/>
      <c r="AD62" s="287"/>
      <c r="AE62" s="287"/>
      <c r="AF62" s="287"/>
      <c r="AG62" s="287"/>
      <c r="AH62" s="287"/>
      <c r="AI62" s="284"/>
      <c r="AJ62" s="284"/>
      <c r="AK62" s="360"/>
      <c r="AL62" s="305"/>
      <c r="AM62" s="305"/>
      <c r="AN62" s="305"/>
      <c r="AO62" s="305"/>
      <c r="AP62" s="305"/>
      <c r="AQ62" s="305"/>
      <c r="AR62" s="305"/>
      <c r="AS62" s="305"/>
      <c r="AT62" s="305"/>
      <c r="AU62" s="305"/>
    </row>
    <row r="63" spans="1:47" s="306" customFormat="1" ht="58.5">
      <c r="A63" s="308" t="s">
        <v>255</v>
      </c>
      <c r="B63" s="297" t="s">
        <v>629</v>
      </c>
      <c r="C63" s="283" t="s">
        <v>794</v>
      </c>
      <c r="D63" s="284"/>
      <c r="E63" s="284"/>
      <c r="F63" s="284"/>
      <c r="G63" s="284"/>
      <c r="H63" s="284"/>
      <c r="I63" s="284"/>
      <c r="J63" s="284">
        <v>26.03</v>
      </c>
      <c r="K63" s="287">
        <f t="shared" si="0"/>
        <v>4.9719997906526405</v>
      </c>
      <c r="L63" s="356">
        <v>76</v>
      </c>
      <c r="M63" s="284">
        <f>0+13</f>
        <v>13</v>
      </c>
      <c r="N63" s="287">
        <f t="shared" si="1"/>
        <v>2.4859998953263203</v>
      </c>
      <c r="O63" s="287">
        <f>0+38</f>
        <v>38</v>
      </c>
      <c r="P63" s="284">
        <v>0</v>
      </c>
      <c r="Q63" s="287">
        <f t="shared" si="2"/>
        <v>0</v>
      </c>
      <c r="R63" s="284">
        <f t="shared" si="3"/>
        <v>0</v>
      </c>
      <c r="S63" s="284">
        <v>0</v>
      </c>
      <c r="T63" s="287">
        <f t="shared" si="4"/>
        <v>0</v>
      </c>
      <c r="U63" s="287"/>
      <c r="V63" s="283"/>
      <c r="W63" s="287"/>
      <c r="X63" s="287"/>
      <c r="Y63" s="287"/>
      <c r="Z63" s="287"/>
      <c r="AA63" s="287"/>
      <c r="AB63" s="287"/>
      <c r="AC63" s="287"/>
      <c r="AD63" s="287"/>
      <c r="AE63" s="287"/>
      <c r="AF63" s="287"/>
      <c r="AG63" s="287"/>
      <c r="AH63" s="287"/>
      <c r="AI63" s="284"/>
      <c r="AJ63" s="284"/>
      <c r="AK63" s="360"/>
      <c r="AL63" s="305"/>
      <c r="AM63" s="305"/>
      <c r="AN63" s="305"/>
      <c r="AO63" s="305"/>
      <c r="AP63" s="305"/>
      <c r="AQ63" s="305"/>
      <c r="AR63" s="305"/>
      <c r="AS63" s="305"/>
      <c r="AT63" s="305"/>
      <c r="AU63" s="305"/>
    </row>
    <row r="64" spans="1:47" s="306" customFormat="1" ht="39">
      <c r="A64" s="308" t="s">
        <v>257</v>
      </c>
      <c r="B64" s="304" t="s">
        <v>561</v>
      </c>
      <c r="C64" s="283" t="s">
        <v>797</v>
      </c>
      <c r="D64" s="284"/>
      <c r="E64" s="284"/>
      <c r="F64" s="284"/>
      <c r="G64" s="284"/>
      <c r="H64" s="284"/>
      <c r="I64" s="284"/>
      <c r="J64" s="284">
        <v>26.03</v>
      </c>
      <c r="K64" s="287">
        <f t="shared" si="0"/>
        <v>4.9719997906526405</v>
      </c>
      <c r="L64" s="356">
        <v>76</v>
      </c>
      <c r="M64" s="284">
        <f>0+13</f>
        <v>13</v>
      </c>
      <c r="N64" s="287">
        <f t="shared" si="1"/>
        <v>2.4859998953263203</v>
      </c>
      <c r="O64" s="287">
        <f>0+38</f>
        <v>38</v>
      </c>
      <c r="P64" s="284">
        <v>0</v>
      </c>
      <c r="Q64" s="287">
        <f t="shared" si="2"/>
        <v>0</v>
      </c>
      <c r="R64" s="284">
        <f t="shared" si="3"/>
        <v>0</v>
      </c>
      <c r="S64" s="284">
        <v>0</v>
      </c>
      <c r="T64" s="287">
        <f t="shared" si="4"/>
        <v>0</v>
      </c>
      <c r="U64" s="287"/>
      <c r="V64" s="283"/>
      <c r="W64" s="287"/>
      <c r="X64" s="287"/>
      <c r="Y64" s="287"/>
      <c r="Z64" s="287"/>
      <c r="AA64" s="287"/>
      <c r="AB64" s="287"/>
      <c r="AC64" s="287"/>
      <c r="AD64" s="287"/>
      <c r="AE64" s="287"/>
      <c r="AF64" s="287"/>
      <c r="AG64" s="287"/>
      <c r="AH64" s="287"/>
      <c r="AI64" s="284"/>
      <c r="AJ64" s="284"/>
      <c r="AK64" s="360"/>
      <c r="AL64" s="305"/>
      <c r="AM64" s="305"/>
      <c r="AN64" s="305"/>
      <c r="AO64" s="305"/>
      <c r="AP64" s="305"/>
      <c r="AQ64" s="305"/>
      <c r="AR64" s="305"/>
      <c r="AS64" s="305"/>
      <c r="AT64" s="305"/>
      <c r="AU64" s="305"/>
    </row>
    <row r="65" spans="1:47" s="306" customFormat="1" ht="40.5">
      <c r="A65" s="308" t="s">
        <v>260</v>
      </c>
      <c r="B65" s="353" t="s">
        <v>673</v>
      </c>
      <c r="C65" s="283" t="s">
        <v>794</v>
      </c>
      <c r="D65" s="284"/>
      <c r="E65" s="284"/>
      <c r="F65" s="284"/>
      <c r="G65" s="284"/>
      <c r="H65" s="284"/>
      <c r="I65" s="284"/>
      <c r="J65" s="284">
        <v>1.5</v>
      </c>
      <c r="K65" s="287">
        <f t="shared" si="0"/>
        <v>1.7663683466792275</v>
      </c>
      <c r="L65" s="356">
        <v>27</v>
      </c>
      <c r="M65" s="284">
        <f>1.5+0</f>
        <v>1.5</v>
      </c>
      <c r="N65" s="287">
        <f t="shared" si="1"/>
        <v>1.7663683466792275</v>
      </c>
      <c r="O65" s="287">
        <f>27+0</f>
        <v>27</v>
      </c>
      <c r="P65" s="284">
        <v>0</v>
      </c>
      <c r="Q65" s="287">
        <f t="shared" si="2"/>
        <v>0</v>
      </c>
      <c r="R65" s="284">
        <f t="shared" si="3"/>
        <v>0</v>
      </c>
      <c r="S65" s="284">
        <v>0</v>
      </c>
      <c r="T65" s="287">
        <f t="shared" si="4"/>
        <v>0</v>
      </c>
      <c r="U65" s="287"/>
      <c r="V65" s="283"/>
      <c r="W65" s="287"/>
      <c r="X65" s="287"/>
      <c r="Y65" s="287"/>
      <c r="Z65" s="287"/>
      <c r="AA65" s="287"/>
      <c r="AB65" s="287"/>
      <c r="AC65" s="287"/>
      <c r="AD65" s="287"/>
      <c r="AE65" s="287"/>
      <c r="AF65" s="287"/>
      <c r="AG65" s="287"/>
      <c r="AH65" s="287"/>
      <c r="AI65" s="284"/>
      <c r="AJ65" s="284"/>
      <c r="AK65" s="360"/>
      <c r="AL65" s="305"/>
      <c r="AM65" s="305"/>
      <c r="AN65" s="305"/>
      <c r="AO65" s="305"/>
      <c r="AP65" s="305"/>
      <c r="AQ65" s="305"/>
      <c r="AR65" s="305"/>
      <c r="AS65" s="305"/>
      <c r="AT65" s="305"/>
      <c r="AU65" s="305"/>
    </row>
    <row r="66" spans="1:47" s="306" customFormat="1" ht="39">
      <c r="A66" s="308" t="s">
        <v>262</v>
      </c>
      <c r="B66" s="304" t="s">
        <v>561</v>
      </c>
      <c r="C66" s="283" t="s">
        <v>797</v>
      </c>
      <c r="D66" s="284"/>
      <c r="E66" s="284"/>
      <c r="F66" s="284"/>
      <c r="G66" s="284"/>
      <c r="H66" s="284"/>
      <c r="I66" s="284"/>
      <c r="J66" s="284">
        <v>1.5</v>
      </c>
      <c r="K66" s="287">
        <f t="shared" si="0"/>
        <v>1.7663683466792275</v>
      </c>
      <c r="L66" s="356">
        <v>27</v>
      </c>
      <c r="M66" s="284">
        <f>1.5+0</f>
        <v>1.5</v>
      </c>
      <c r="N66" s="287">
        <f t="shared" si="1"/>
        <v>1.7663683466792275</v>
      </c>
      <c r="O66" s="287">
        <f>27+0</f>
        <v>27</v>
      </c>
      <c r="P66" s="284">
        <v>1.5</v>
      </c>
      <c r="Q66" s="287">
        <f t="shared" si="2"/>
        <v>1.7663683466792275</v>
      </c>
      <c r="R66" s="284">
        <f t="shared" si="3"/>
        <v>100</v>
      </c>
      <c r="S66" s="284">
        <v>26.6</v>
      </c>
      <c r="T66" s="287">
        <f t="shared" si="4"/>
        <v>98.518518518518533</v>
      </c>
      <c r="U66" s="287"/>
      <c r="V66" s="283"/>
      <c r="W66" s="287"/>
      <c r="X66" s="287"/>
      <c r="Y66" s="287"/>
      <c r="Z66" s="287"/>
      <c r="AA66" s="287"/>
      <c r="AB66" s="287"/>
      <c r="AC66" s="287"/>
      <c r="AD66" s="287"/>
      <c r="AE66" s="287"/>
      <c r="AF66" s="287"/>
      <c r="AG66" s="287"/>
      <c r="AH66" s="287"/>
      <c r="AI66" s="284"/>
      <c r="AJ66" s="284"/>
      <c r="AK66" s="360"/>
      <c r="AL66" s="305"/>
      <c r="AM66" s="305"/>
      <c r="AN66" s="305"/>
      <c r="AO66" s="305"/>
      <c r="AP66" s="305"/>
      <c r="AQ66" s="305"/>
      <c r="AR66" s="305"/>
      <c r="AS66" s="305"/>
      <c r="AT66" s="305"/>
      <c r="AU66" s="305"/>
    </row>
    <row r="67" spans="1:47" s="306" customFormat="1" ht="40.5">
      <c r="A67" s="308" t="s">
        <v>263</v>
      </c>
      <c r="B67" s="353" t="s">
        <v>674</v>
      </c>
      <c r="C67" s="283" t="s">
        <v>797</v>
      </c>
      <c r="D67" s="284"/>
      <c r="E67" s="284"/>
      <c r="F67" s="284"/>
      <c r="G67" s="284"/>
      <c r="H67" s="284"/>
      <c r="I67" s="284"/>
      <c r="J67" s="284">
        <v>5</v>
      </c>
      <c r="K67" s="287">
        <f t="shared" si="0"/>
        <v>6.5421049877008433E-2</v>
      </c>
      <c r="L67" s="356">
        <v>1</v>
      </c>
      <c r="M67" s="284">
        <f>0+0</f>
        <v>0</v>
      </c>
      <c r="N67" s="287">
        <f t="shared" si="1"/>
        <v>0</v>
      </c>
      <c r="O67" s="287">
        <f>0+0</f>
        <v>0</v>
      </c>
      <c r="P67" s="284">
        <v>0</v>
      </c>
      <c r="Q67" s="287">
        <f t="shared" si="2"/>
        <v>0</v>
      </c>
      <c r="R67" s="284">
        <f t="shared" si="3"/>
        <v>0</v>
      </c>
      <c r="S67" s="284">
        <v>0</v>
      </c>
      <c r="T67" s="287">
        <f t="shared" si="4"/>
        <v>0</v>
      </c>
      <c r="U67" s="287"/>
      <c r="V67" s="283"/>
      <c r="W67" s="287"/>
      <c r="X67" s="287"/>
      <c r="Y67" s="287"/>
      <c r="Z67" s="287"/>
      <c r="AA67" s="287"/>
      <c r="AB67" s="287"/>
      <c r="AC67" s="287"/>
      <c r="AD67" s="287"/>
      <c r="AE67" s="287"/>
      <c r="AF67" s="287"/>
      <c r="AG67" s="287"/>
      <c r="AH67" s="287"/>
      <c r="AI67" s="284"/>
      <c r="AJ67" s="284"/>
      <c r="AK67" s="360"/>
      <c r="AL67" s="305"/>
      <c r="AM67" s="305"/>
      <c r="AN67" s="305"/>
      <c r="AO67" s="305"/>
      <c r="AP67" s="305"/>
      <c r="AQ67" s="305"/>
      <c r="AR67" s="305"/>
      <c r="AS67" s="305"/>
      <c r="AT67" s="305"/>
      <c r="AU67" s="305"/>
    </row>
    <row r="68" spans="1:47" s="306" customFormat="1" ht="40.5">
      <c r="A68" s="308" t="s">
        <v>566</v>
      </c>
      <c r="B68" s="353" t="s">
        <v>675</v>
      </c>
      <c r="C68" s="283" t="s">
        <v>797</v>
      </c>
      <c r="D68" s="284"/>
      <c r="E68" s="284"/>
      <c r="F68" s="284"/>
      <c r="G68" s="284"/>
      <c r="H68" s="284"/>
      <c r="I68" s="284"/>
      <c r="J68" s="284">
        <v>0.5</v>
      </c>
      <c r="K68" s="287">
        <f t="shared" si="0"/>
        <v>6.5421049877008433E-2</v>
      </c>
      <c r="L68" s="356">
        <v>1</v>
      </c>
      <c r="M68" s="284">
        <f>0+0</f>
        <v>0</v>
      </c>
      <c r="N68" s="287">
        <f t="shared" si="1"/>
        <v>0</v>
      </c>
      <c r="O68" s="287">
        <f>0+0</f>
        <v>0</v>
      </c>
      <c r="P68" s="284">
        <v>0</v>
      </c>
      <c r="Q68" s="287">
        <f t="shared" si="2"/>
        <v>0</v>
      </c>
      <c r="R68" s="284">
        <f t="shared" si="3"/>
        <v>0</v>
      </c>
      <c r="S68" s="284">
        <v>0</v>
      </c>
      <c r="T68" s="287">
        <f t="shared" si="4"/>
        <v>0</v>
      </c>
      <c r="U68" s="287"/>
      <c r="V68" s="283"/>
      <c r="W68" s="287"/>
      <c r="X68" s="287"/>
      <c r="Y68" s="287"/>
      <c r="Z68" s="287"/>
      <c r="AA68" s="287"/>
      <c r="AB68" s="287"/>
      <c r="AC68" s="287"/>
      <c r="AD68" s="287"/>
      <c r="AE68" s="287"/>
      <c r="AF68" s="287"/>
      <c r="AG68" s="287"/>
      <c r="AH68" s="287"/>
      <c r="AI68" s="284"/>
      <c r="AJ68" s="284"/>
      <c r="AK68" s="360"/>
      <c r="AL68" s="305"/>
      <c r="AM68" s="305"/>
      <c r="AN68" s="305"/>
      <c r="AO68" s="305"/>
      <c r="AP68" s="305"/>
      <c r="AQ68" s="305"/>
      <c r="AR68" s="305"/>
      <c r="AS68" s="305"/>
      <c r="AT68" s="305"/>
      <c r="AU68" s="305"/>
    </row>
    <row r="69" spans="1:47" s="306" customFormat="1" ht="60">
      <c r="A69" s="308" t="s">
        <v>271</v>
      </c>
      <c r="B69" s="353" t="s">
        <v>676</v>
      </c>
      <c r="C69" s="283" t="s">
        <v>797</v>
      </c>
      <c r="D69" s="284"/>
      <c r="E69" s="284"/>
      <c r="F69" s="284"/>
      <c r="G69" s="284"/>
      <c r="H69" s="284"/>
      <c r="I69" s="284"/>
      <c r="J69" s="284">
        <v>5</v>
      </c>
      <c r="K69" s="287">
        <f t="shared" si="0"/>
        <v>4.9065787407756325</v>
      </c>
      <c r="L69" s="356">
        <v>75</v>
      </c>
      <c r="M69" s="284">
        <f>1+3</f>
        <v>4</v>
      </c>
      <c r="N69" s="287">
        <f t="shared" si="1"/>
        <v>3.9252629926205054</v>
      </c>
      <c r="O69" s="287">
        <f>15+45</f>
        <v>60</v>
      </c>
      <c r="P69" s="284">
        <v>0.1</v>
      </c>
      <c r="Q69" s="287">
        <f t="shared" si="2"/>
        <v>9.8131574815512643E-2</v>
      </c>
      <c r="R69" s="284">
        <f t="shared" si="3"/>
        <v>2.5</v>
      </c>
      <c r="S69" s="284">
        <v>0</v>
      </c>
      <c r="T69" s="287">
        <f t="shared" si="4"/>
        <v>0</v>
      </c>
      <c r="U69" s="287"/>
      <c r="V69" s="283"/>
      <c r="W69" s="287"/>
      <c r="X69" s="287"/>
      <c r="Y69" s="287"/>
      <c r="Z69" s="287"/>
      <c r="AA69" s="287"/>
      <c r="AB69" s="287"/>
      <c r="AC69" s="287"/>
      <c r="AD69" s="287"/>
      <c r="AE69" s="287"/>
      <c r="AF69" s="287"/>
      <c r="AG69" s="287"/>
      <c r="AH69" s="287"/>
      <c r="AI69" s="284"/>
      <c r="AJ69" s="284"/>
      <c r="AK69" s="360"/>
      <c r="AL69" s="305"/>
      <c r="AM69" s="305"/>
      <c r="AN69" s="305"/>
      <c r="AO69" s="305"/>
      <c r="AP69" s="305"/>
      <c r="AQ69" s="305"/>
      <c r="AR69" s="305"/>
      <c r="AS69" s="305"/>
      <c r="AT69" s="305"/>
      <c r="AU69" s="305"/>
    </row>
    <row r="70" spans="1:47" s="306" customFormat="1" ht="36.6" customHeight="1">
      <c r="A70" s="308" t="s">
        <v>273</v>
      </c>
      <c r="B70" s="354" t="s">
        <v>677</v>
      </c>
      <c r="C70" s="283" t="s">
        <v>797</v>
      </c>
      <c r="D70" s="284"/>
      <c r="E70" s="284"/>
      <c r="F70" s="284"/>
      <c r="G70" s="284"/>
      <c r="H70" s="284"/>
      <c r="I70" s="284"/>
      <c r="J70" s="284">
        <v>1.5</v>
      </c>
      <c r="K70" s="287">
        <f t="shared" si="0"/>
        <v>0.78505259852410103</v>
      </c>
      <c r="L70" s="356">
        <v>12</v>
      </c>
      <c r="M70" s="284">
        <f>0+1</f>
        <v>1</v>
      </c>
      <c r="N70" s="287">
        <f t="shared" si="1"/>
        <v>0.52336839901606746</v>
      </c>
      <c r="O70" s="287">
        <f>0+8</f>
        <v>8</v>
      </c>
      <c r="P70" s="284">
        <v>0.1</v>
      </c>
      <c r="Q70" s="287">
        <f t="shared" si="2"/>
        <v>5.2336839901606751E-2</v>
      </c>
      <c r="R70" s="284">
        <f t="shared" si="3"/>
        <v>10</v>
      </c>
      <c r="S70" s="284">
        <v>0</v>
      </c>
      <c r="T70" s="287">
        <f t="shared" si="4"/>
        <v>0</v>
      </c>
      <c r="U70" s="287"/>
      <c r="V70" s="283"/>
      <c r="W70" s="287"/>
      <c r="X70" s="287"/>
      <c r="Y70" s="287"/>
      <c r="Z70" s="287"/>
      <c r="AA70" s="287"/>
      <c r="AB70" s="287"/>
      <c r="AC70" s="287"/>
      <c r="AD70" s="287"/>
      <c r="AE70" s="287"/>
      <c r="AF70" s="287"/>
      <c r="AG70" s="287"/>
      <c r="AH70" s="287"/>
      <c r="AI70" s="284"/>
      <c r="AJ70" s="284"/>
      <c r="AK70" s="360"/>
      <c r="AL70" s="305"/>
      <c r="AM70" s="305"/>
      <c r="AN70" s="305"/>
      <c r="AO70" s="305"/>
      <c r="AP70" s="305"/>
      <c r="AQ70" s="305"/>
      <c r="AR70" s="305"/>
      <c r="AS70" s="305"/>
      <c r="AT70" s="305"/>
      <c r="AU70" s="305"/>
    </row>
    <row r="71" spans="1:47" s="306" customFormat="1" ht="34.15" customHeight="1">
      <c r="A71" s="308" t="s">
        <v>678</v>
      </c>
      <c r="B71" s="353" t="s">
        <v>679</v>
      </c>
      <c r="C71" s="283" t="s">
        <v>797</v>
      </c>
      <c r="D71" s="284"/>
      <c r="E71" s="284"/>
      <c r="F71" s="284"/>
      <c r="G71" s="284"/>
      <c r="H71" s="284"/>
      <c r="I71" s="284"/>
      <c r="J71" s="284">
        <v>1</v>
      </c>
      <c r="K71" s="287">
        <f t="shared" si="0"/>
        <v>6.5421049877008433E-2</v>
      </c>
      <c r="L71" s="356">
        <v>1</v>
      </c>
      <c r="M71" s="284">
        <f>0+1</f>
        <v>1</v>
      </c>
      <c r="N71" s="287">
        <f t="shared" si="1"/>
        <v>6.5421049877008433E-2</v>
      </c>
      <c r="O71" s="287">
        <f>0+1</f>
        <v>1</v>
      </c>
      <c r="P71" s="284">
        <v>0</v>
      </c>
      <c r="Q71" s="287">
        <f t="shared" si="2"/>
        <v>0</v>
      </c>
      <c r="R71" s="284">
        <f t="shared" si="3"/>
        <v>0</v>
      </c>
      <c r="S71" s="284">
        <v>0</v>
      </c>
      <c r="T71" s="287">
        <f t="shared" si="4"/>
        <v>0</v>
      </c>
      <c r="U71" s="287"/>
      <c r="V71" s="283"/>
      <c r="W71" s="287"/>
      <c r="X71" s="287"/>
      <c r="Y71" s="287"/>
      <c r="Z71" s="287"/>
      <c r="AA71" s="287"/>
      <c r="AB71" s="287"/>
      <c r="AC71" s="287"/>
      <c r="AD71" s="287"/>
      <c r="AE71" s="287"/>
      <c r="AF71" s="287"/>
      <c r="AG71" s="287"/>
      <c r="AH71" s="287"/>
      <c r="AI71" s="284"/>
      <c r="AJ71" s="284"/>
      <c r="AK71" s="360"/>
      <c r="AL71" s="305"/>
      <c r="AM71" s="305"/>
      <c r="AN71" s="305"/>
      <c r="AO71" s="305"/>
      <c r="AP71" s="305"/>
      <c r="AQ71" s="305"/>
      <c r="AR71" s="305"/>
      <c r="AS71" s="305"/>
      <c r="AT71" s="305"/>
      <c r="AU71" s="305"/>
    </row>
    <row r="72" spans="1:47" s="306" customFormat="1" ht="60">
      <c r="A72" s="308" t="s">
        <v>277</v>
      </c>
      <c r="B72" s="353" t="s">
        <v>680</v>
      </c>
      <c r="C72" s="283" t="s">
        <v>797</v>
      </c>
      <c r="D72" s="284"/>
      <c r="E72" s="284"/>
      <c r="F72" s="284"/>
      <c r="G72" s="284"/>
      <c r="H72" s="284"/>
      <c r="I72" s="284"/>
      <c r="J72" s="284">
        <v>5</v>
      </c>
      <c r="K72" s="287">
        <f t="shared" si="0"/>
        <v>6.5421049877008433E-2</v>
      </c>
      <c r="L72" s="356">
        <v>1</v>
      </c>
      <c r="M72" s="284">
        <f>0+0</f>
        <v>0</v>
      </c>
      <c r="N72" s="287">
        <f t="shared" si="1"/>
        <v>0</v>
      </c>
      <c r="O72" s="287">
        <f>0+0</f>
        <v>0</v>
      </c>
      <c r="P72" s="284">
        <v>1</v>
      </c>
      <c r="Q72" s="287">
        <f t="shared" si="2"/>
        <v>1.3084209975401688E-2</v>
      </c>
      <c r="R72" s="284">
        <f t="shared" si="3"/>
        <v>20</v>
      </c>
      <c r="S72" s="284">
        <v>0</v>
      </c>
      <c r="T72" s="287">
        <f t="shared" si="4"/>
        <v>0</v>
      </c>
      <c r="U72" s="287"/>
      <c r="V72" s="283"/>
      <c r="W72" s="287"/>
      <c r="X72" s="287"/>
      <c r="Y72" s="287"/>
      <c r="Z72" s="287"/>
      <c r="AA72" s="287"/>
      <c r="AB72" s="287"/>
      <c r="AC72" s="287"/>
      <c r="AD72" s="287"/>
      <c r="AE72" s="287"/>
      <c r="AF72" s="287"/>
      <c r="AG72" s="287"/>
      <c r="AH72" s="287"/>
      <c r="AI72" s="284"/>
      <c r="AJ72" s="284"/>
      <c r="AK72" s="360"/>
      <c r="AL72" s="305"/>
      <c r="AM72" s="305"/>
      <c r="AN72" s="305"/>
      <c r="AO72" s="305"/>
      <c r="AP72" s="305"/>
      <c r="AQ72" s="305"/>
      <c r="AR72" s="305"/>
      <c r="AS72" s="305"/>
      <c r="AT72" s="305"/>
      <c r="AU72" s="305"/>
    </row>
    <row r="73" spans="1:47" s="306" customFormat="1" ht="34.9" customHeight="1">
      <c r="A73" s="308" t="s">
        <v>279</v>
      </c>
      <c r="B73" s="364" t="s">
        <v>681</v>
      </c>
      <c r="C73" s="283" t="s">
        <v>797</v>
      </c>
      <c r="D73" s="284"/>
      <c r="E73" s="284"/>
      <c r="F73" s="284"/>
      <c r="G73" s="284"/>
      <c r="H73" s="284"/>
      <c r="I73" s="284"/>
      <c r="J73" s="284">
        <v>24.75</v>
      </c>
      <c r="K73" s="287">
        <f t="shared" si="0"/>
        <v>3.2710524938504215</v>
      </c>
      <c r="L73" s="356">
        <v>50</v>
      </c>
      <c r="M73" s="284">
        <f>5+10</f>
        <v>15</v>
      </c>
      <c r="N73" s="287">
        <f t="shared" si="1"/>
        <v>1.9626314963102527</v>
      </c>
      <c r="O73" s="287">
        <f>10+20</f>
        <v>30</v>
      </c>
      <c r="P73" s="284">
        <v>4</v>
      </c>
      <c r="Q73" s="287">
        <f t="shared" si="2"/>
        <v>0.52336839901606735</v>
      </c>
      <c r="R73" s="284">
        <f t="shared" si="3"/>
        <v>26.67</v>
      </c>
      <c r="S73" s="284">
        <v>0</v>
      </c>
      <c r="T73" s="287">
        <f t="shared" si="4"/>
        <v>0</v>
      </c>
      <c r="U73" s="287"/>
      <c r="V73" s="283"/>
      <c r="W73" s="287"/>
      <c r="X73" s="287"/>
      <c r="Y73" s="287"/>
      <c r="Z73" s="287"/>
      <c r="AA73" s="287"/>
      <c r="AB73" s="287"/>
      <c r="AC73" s="287"/>
      <c r="AD73" s="287"/>
      <c r="AE73" s="287"/>
      <c r="AF73" s="287"/>
      <c r="AG73" s="287"/>
      <c r="AH73" s="287"/>
      <c r="AI73" s="284"/>
      <c r="AJ73" s="284"/>
      <c r="AK73" s="360"/>
      <c r="AL73" s="305"/>
      <c r="AM73" s="305"/>
      <c r="AN73" s="305"/>
      <c r="AO73" s="305"/>
      <c r="AP73" s="305"/>
      <c r="AQ73" s="305"/>
      <c r="AR73" s="305"/>
      <c r="AS73" s="305"/>
      <c r="AT73" s="305"/>
      <c r="AU73" s="305"/>
    </row>
    <row r="74" spans="1:47" s="306" customFormat="1" ht="58.5">
      <c r="A74" s="308" t="s">
        <v>281</v>
      </c>
      <c r="B74" s="354" t="s">
        <v>807</v>
      </c>
      <c r="C74" s="283" t="s">
        <v>797</v>
      </c>
      <c r="D74" s="284"/>
      <c r="E74" s="284"/>
      <c r="F74" s="284"/>
      <c r="G74" s="284"/>
      <c r="H74" s="284"/>
      <c r="I74" s="284"/>
      <c r="J74" s="284">
        <v>3</v>
      </c>
      <c r="K74" s="287">
        <f t="shared" si="0"/>
        <v>0.78505259852410103</v>
      </c>
      <c r="L74" s="356">
        <v>12</v>
      </c>
      <c r="M74" s="284">
        <f>0+1</f>
        <v>1</v>
      </c>
      <c r="N74" s="287">
        <f t="shared" si="1"/>
        <v>0.39252629926205052</v>
      </c>
      <c r="O74" s="287">
        <f>0+6</f>
        <v>6</v>
      </c>
      <c r="P74" s="284">
        <v>0</v>
      </c>
      <c r="Q74" s="287">
        <f t="shared" si="2"/>
        <v>0</v>
      </c>
      <c r="R74" s="284">
        <f t="shared" si="3"/>
        <v>0</v>
      </c>
      <c r="S74" s="284">
        <v>0</v>
      </c>
      <c r="T74" s="287">
        <f t="shared" si="4"/>
        <v>0</v>
      </c>
      <c r="U74" s="287"/>
      <c r="V74" s="283"/>
      <c r="W74" s="287"/>
      <c r="X74" s="287"/>
      <c r="Y74" s="287"/>
      <c r="Z74" s="287"/>
      <c r="AA74" s="287"/>
      <c r="AB74" s="287"/>
      <c r="AC74" s="287"/>
      <c r="AD74" s="287"/>
      <c r="AE74" s="287"/>
      <c r="AF74" s="287"/>
      <c r="AG74" s="287"/>
      <c r="AH74" s="287"/>
      <c r="AI74" s="284"/>
      <c r="AJ74" s="284"/>
      <c r="AK74" s="360"/>
      <c r="AL74" s="305"/>
      <c r="AM74" s="305"/>
      <c r="AN74" s="305"/>
      <c r="AO74" s="305"/>
      <c r="AP74" s="305"/>
      <c r="AQ74" s="305"/>
      <c r="AR74" s="305"/>
      <c r="AS74" s="305"/>
      <c r="AT74" s="305"/>
      <c r="AU74" s="305"/>
    </row>
    <row r="75" spans="1:47" s="306" customFormat="1" ht="39">
      <c r="A75" s="308" t="s">
        <v>285</v>
      </c>
      <c r="B75" s="354" t="s">
        <v>683</v>
      </c>
      <c r="C75" s="283" t="s">
        <v>797</v>
      </c>
      <c r="D75" s="284"/>
      <c r="E75" s="284"/>
      <c r="F75" s="284"/>
      <c r="G75" s="284"/>
      <c r="H75" s="284"/>
      <c r="I75" s="284"/>
      <c r="J75" s="284">
        <v>2</v>
      </c>
      <c r="K75" s="287">
        <f t="shared" si="0"/>
        <v>0.32710524938504215</v>
      </c>
      <c r="L75" s="356">
        <v>5</v>
      </c>
      <c r="M75" s="284">
        <f>0+2</f>
        <v>2</v>
      </c>
      <c r="N75" s="287">
        <f t="shared" si="1"/>
        <v>0.32710524938504215</v>
      </c>
      <c r="O75" s="287">
        <f>0+5</f>
        <v>5</v>
      </c>
      <c r="P75" s="284">
        <v>0</v>
      </c>
      <c r="Q75" s="287">
        <f t="shared" si="2"/>
        <v>0</v>
      </c>
      <c r="R75" s="284">
        <f t="shared" si="3"/>
        <v>0</v>
      </c>
      <c r="S75" s="284">
        <v>0</v>
      </c>
      <c r="T75" s="287">
        <f t="shared" si="4"/>
        <v>0</v>
      </c>
      <c r="U75" s="287"/>
      <c r="V75" s="283"/>
      <c r="W75" s="287"/>
      <c r="X75" s="287"/>
      <c r="Y75" s="287"/>
      <c r="Z75" s="287"/>
      <c r="AA75" s="287"/>
      <c r="AB75" s="287"/>
      <c r="AC75" s="287"/>
      <c r="AD75" s="287"/>
      <c r="AE75" s="287"/>
      <c r="AF75" s="287"/>
      <c r="AG75" s="287"/>
      <c r="AH75" s="287"/>
      <c r="AI75" s="284"/>
      <c r="AJ75" s="284"/>
      <c r="AK75" s="360"/>
      <c r="AL75" s="305"/>
      <c r="AM75" s="305"/>
      <c r="AN75" s="305"/>
      <c r="AO75" s="305"/>
      <c r="AP75" s="305"/>
      <c r="AQ75" s="305"/>
      <c r="AR75" s="305"/>
      <c r="AS75" s="305"/>
      <c r="AT75" s="305"/>
      <c r="AU75" s="305"/>
    </row>
    <row r="76" spans="1:47" s="306" customFormat="1" ht="40.5">
      <c r="A76" s="308" t="s">
        <v>287</v>
      </c>
      <c r="B76" s="353" t="s">
        <v>684</v>
      </c>
      <c r="C76" s="283" t="s">
        <v>797</v>
      </c>
      <c r="D76" s="284"/>
      <c r="E76" s="284"/>
      <c r="F76" s="284"/>
      <c r="G76" s="284"/>
      <c r="H76" s="284"/>
      <c r="I76" s="284"/>
      <c r="J76" s="284">
        <v>3</v>
      </c>
      <c r="K76" s="287">
        <f t="shared" si="0"/>
        <v>0.29439472444653791</v>
      </c>
      <c r="L76" s="356">
        <v>4.5</v>
      </c>
      <c r="M76" s="284">
        <f>0+3</f>
        <v>3</v>
      </c>
      <c r="N76" s="287">
        <f t="shared" si="1"/>
        <v>0.29439472444653791</v>
      </c>
      <c r="O76" s="287">
        <f>0+4.5</f>
        <v>4.5</v>
      </c>
      <c r="P76" s="284">
        <v>0</v>
      </c>
      <c r="Q76" s="287">
        <f t="shared" si="2"/>
        <v>0</v>
      </c>
      <c r="R76" s="284">
        <f t="shared" si="3"/>
        <v>0</v>
      </c>
      <c r="S76" s="284">
        <v>0</v>
      </c>
      <c r="T76" s="287">
        <f t="shared" si="4"/>
        <v>0</v>
      </c>
      <c r="U76" s="287"/>
      <c r="V76" s="283"/>
      <c r="W76" s="287"/>
      <c r="X76" s="287"/>
      <c r="Y76" s="287"/>
      <c r="Z76" s="287"/>
      <c r="AA76" s="287"/>
      <c r="AB76" s="287"/>
      <c r="AC76" s="287"/>
      <c r="AD76" s="287"/>
      <c r="AE76" s="287"/>
      <c r="AF76" s="287"/>
      <c r="AG76" s="287"/>
      <c r="AH76" s="287"/>
      <c r="AI76" s="284"/>
      <c r="AJ76" s="284"/>
      <c r="AK76" s="360"/>
      <c r="AL76" s="305"/>
      <c r="AM76" s="305"/>
      <c r="AN76" s="305"/>
      <c r="AO76" s="305"/>
      <c r="AP76" s="305"/>
      <c r="AQ76" s="305"/>
      <c r="AR76" s="305"/>
      <c r="AS76" s="305"/>
      <c r="AT76" s="305"/>
      <c r="AU76" s="305"/>
    </row>
    <row r="77" spans="1:47" s="306" customFormat="1" ht="58.5">
      <c r="A77" s="308" t="s">
        <v>289</v>
      </c>
      <c r="B77" s="355" t="s">
        <v>685</v>
      </c>
      <c r="C77" s="283" t="s">
        <v>797</v>
      </c>
      <c r="D77" s="284"/>
      <c r="E77" s="284"/>
      <c r="F77" s="284"/>
      <c r="G77" s="284"/>
      <c r="H77" s="284"/>
      <c r="I77" s="284"/>
      <c r="J77" s="284">
        <v>3</v>
      </c>
      <c r="K77" s="287">
        <f t="shared" si="0"/>
        <v>0.29439472444653791</v>
      </c>
      <c r="L77" s="356">
        <v>4.5</v>
      </c>
      <c r="M77" s="284">
        <f>0+3</f>
        <v>3</v>
      </c>
      <c r="N77" s="287">
        <f t="shared" si="1"/>
        <v>0.29439472444653791</v>
      </c>
      <c r="O77" s="287">
        <f>0+4.5</f>
        <v>4.5</v>
      </c>
      <c r="P77" s="284">
        <v>0</v>
      </c>
      <c r="Q77" s="287">
        <f t="shared" si="2"/>
        <v>0</v>
      </c>
      <c r="R77" s="284">
        <f t="shared" si="3"/>
        <v>0</v>
      </c>
      <c r="S77" s="284">
        <v>0</v>
      </c>
      <c r="T77" s="287">
        <f t="shared" si="4"/>
        <v>0</v>
      </c>
      <c r="U77" s="287"/>
      <c r="V77" s="283"/>
      <c r="W77" s="287"/>
      <c r="X77" s="287"/>
      <c r="Y77" s="287"/>
      <c r="Z77" s="287"/>
      <c r="AA77" s="287"/>
      <c r="AB77" s="287"/>
      <c r="AC77" s="287"/>
      <c r="AD77" s="287"/>
      <c r="AE77" s="287"/>
      <c r="AF77" s="287"/>
      <c r="AG77" s="287"/>
      <c r="AH77" s="287"/>
      <c r="AI77" s="284"/>
      <c r="AJ77" s="284"/>
      <c r="AK77" s="360"/>
      <c r="AL77" s="305"/>
      <c r="AM77" s="305"/>
      <c r="AN77" s="305"/>
      <c r="AO77" s="305"/>
      <c r="AP77" s="305"/>
      <c r="AQ77" s="305"/>
      <c r="AR77" s="305"/>
      <c r="AS77" s="305"/>
      <c r="AT77" s="305"/>
      <c r="AU77" s="305"/>
    </row>
    <row r="78" spans="1:47" s="306" customFormat="1" ht="33.6" customHeight="1">
      <c r="A78" s="308" t="s">
        <v>289</v>
      </c>
      <c r="B78" s="365" t="s">
        <v>686</v>
      </c>
      <c r="C78" s="340" t="s">
        <v>794</v>
      </c>
      <c r="D78" s="284"/>
      <c r="E78" s="284"/>
      <c r="F78" s="284"/>
      <c r="G78" s="284"/>
      <c r="H78" s="284"/>
      <c r="I78" s="284"/>
      <c r="J78" s="284">
        <v>3.6</v>
      </c>
      <c r="K78" s="287">
        <f t="shared" si="0"/>
        <v>0.6542104987700843</v>
      </c>
      <c r="L78" s="356">
        <v>10</v>
      </c>
      <c r="M78" s="284">
        <f>3.6+0</f>
        <v>3.6</v>
      </c>
      <c r="N78" s="287">
        <f t="shared" si="1"/>
        <v>0.6542104987700843</v>
      </c>
      <c r="O78" s="287">
        <f>10+0</f>
        <v>10</v>
      </c>
      <c r="P78" s="284">
        <v>1.5</v>
      </c>
      <c r="Q78" s="287">
        <f t="shared" si="2"/>
        <v>0.27258770782086844</v>
      </c>
      <c r="R78" s="284">
        <f t="shared" si="3"/>
        <v>41.67</v>
      </c>
      <c r="S78" s="284">
        <v>0</v>
      </c>
      <c r="T78" s="287">
        <f t="shared" si="4"/>
        <v>0</v>
      </c>
      <c r="U78" s="287"/>
      <c r="V78" s="283"/>
      <c r="W78" s="287"/>
      <c r="X78" s="287"/>
      <c r="Y78" s="287"/>
      <c r="Z78" s="287"/>
      <c r="AA78" s="287"/>
      <c r="AB78" s="287"/>
      <c r="AC78" s="287"/>
      <c r="AD78" s="287"/>
      <c r="AE78" s="287"/>
      <c r="AF78" s="287"/>
      <c r="AG78" s="287"/>
      <c r="AH78" s="287"/>
      <c r="AI78" s="284"/>
      <c r="AJ78" s="284"/>
      <c r="AK78" s="360"/>
      <c r="AL78" s="305"/>
      <c r="AM78" s="305"/>
      <c r="AN78" s="305"/>
      <c r="AO78" s="305"/>
      <c r="AP78" s="305"/>
      <c r="AQ78" s="305"/>
      <c r="AR78" s="305"/>
      <c r="AS78" s="305"/>
      <c r="AT78" s="305"/>
      <c r="AU78" s="305"/>
    </row>
    <row r="79" spans="1:47" s="306" customFormat="1" ht="40.5">
      <c r="A79" s="308" t="s">
        <v>291</v>
      </c>
      <c r="B79" s="353" t="s">
        <v>687</v>
      </c>
      <c r="C79" s="341" t="s">
        <v>797</v>
      </c>
      <c r="D79" s="284"/>
      <c r="E79" s="284"/>
      <c r="F79" s="284"/>
      <c r="G79" s="284"/>
      <c r="H79" s="284"/>
      <c r="I79" s="284"/>
      <c r="J79" s="284">
        <v>5</v>
      </c>
      <c r="K79" s="287">
        <f t="shared" si="0"/>
        <v>0.32710524938504215</v>
      </c>
      <c r="L79" s="356">
        <v>5</v>
      </c>
      <c r="M79" s="284">
        <f>0+5</f>
        <v>5</v>
      </c>
      <c r="N79" s="287">
        <f t="shared" si="1"/>
        <v>0.32710524938504215</v>
      </c>
      <c r="O79" s="287">
        <f>0+5</f>
        <v>5</v>
      </c>
      <c r="P79" s="284">
        <v>0</v>
      </c>
      <c r="Q79" s="287">
        <f t="shared" si="2"/>
        <v>0</v>
      </c>
      <c r="R79" s="284">
        <f t="shared" si="3"/>
        <v>0</v>
      </c>
      <c r="S79" s="284">
        <v>0</v>
      </c>
      <c r="T79" s="287">
        <f t="shared" si="4"/>
        <v>0</v>
      </c>
      <c r="U79" s="287"/>
      <c r="V79" s="283"/>
      <c r="W79" s="287"/>
      <c r="X79" s="287"/>
      <c r="Y79" s="287"/>
      <c r="Z79" s="287"/>
      <c r="AA79" s="287"/>
      <c r="AB79" s="287"/>
      <c r="AC79" s="287"/>
      <c r="AD79" s="287"/>
      <c r="AE79" s="287"/>
      <c r="AF79" s="287"/>
      <c r="AG79" s="287"/>
      <c r="AH79" s="287"/>
      <c r="AI79" s="284"/>
      <c r="AJ79" s="284"/>
      <c r="AK79" s="360"/>
      <c r="AL79" s="305"/>
      <c r="AM79" s="305"/>
      <c r="AN79" s="305"/>
      <c r="AO79" s="305"/>
      <c r="AP79" s="305"/>
      <c r="AQ79" s="305"/>
      <c r="AR79" s="305"/>
      <c r="AS79" s="305"/>
      <c r="AT79" s="305"/>
      <c r="AU79" s="305"/>
    </row>
    <row r="80" spans="1:47" s="306" customFormat="1" ht="40.5">
      <c r="A80" s="308" t="s">
        <v>293</v>
      </c>
      <c r="B80" s="353" t="s">
        <v>688</v>
      </c>
      <c r="C80" s="341" t="s">
        <v>797</v>
      </c>
      <c r="D80" s="284"/>
      <c r="E80" s="284"/>
      <c r="F80" s="284"/>
      <c r="G80" s="284"/>
      <c r="H80" s="284"/>
      <c r="I80" s="284"/>
      <c r="J80" s="284">
        <v>3</v>
      </c>
      <c r="K80" s="287">
        <f t="shared" si="0"/>
        <v>0.29439472444653791</v>
      </c>
      <c r="L80" s="356">
        <v>4.5</v>
      </c>
      <c r="M80" s="284">
        <f>0+3</f>
        <v>3</v>
      </c>
      <c r="N80" s="287">
        <f t="shared" si="1"/>
        <v>0.29439472444653791</v>
      </c>
      <c r="O80" s="287">
        <f>0+4.5</f>
        <v>4.5</v>
      </c>
      <c r="P80" s="284">
        <v>0</v>
      </c>
      <c r="Q80" s="287">
        <f t="shared" si="2"/>
        <v>0</v>
      </c>
      <c r="R80" s="284">
        <f t="shared" si="3"/>
        <v>0</v>
      </c>
      <c r="S80" s="284">
        <v>0</v>
      </c>
      <c r="T80" s="287">
        <f t="shared" si="4"/>
        <v>0</v>
      </c>
      <c r="U80" s="287"/>
      <c r="V80" s="283"/>
      <c r="W80" s="287"/>
      <c r="X80" s="287"/>
      <c r="Y80" s="287"/>
      <c r="Z80" s="287"/>
      <c r="AA80" s="287"/>
      <c r="AB80" s="287"/>
      <c r="AC80" s="287"/>
      <c r="AD80" s="287"/>
      <c r="AE80" s="287"/>
      <c r="AF80" s="287"/>
      <c r="AG80" s="287"/>
      <c r="AH80" s="287"/>
      <c r="AI80" s="284"/>
      <c r="AJ80" s="284"/>
      <c r="AK80" s="360"/>
      <c r="AL80" s="305"/>
      <c r="AM80" s="305"/>
      <c r="AN80" s="305"/>
      <c r="AO80" s="305"/>
      <c r="AP80" s="305"/>
      <c r="AQ80" s="305"/>
      <c r="AR80" s="305"/>
      <c r="AS80" s="305"/>
      <c r="AT80" s="305"/>
      <c r="AU80" s="305"/>
    </row>
    <row r="81" spans="1:47" s="306" customFormat="1" ht="40.5">
      <c r="A81" s="308" t="s">
        <v>297</v>
      </c>
      <c r="B81" s="353" t="s">
        <v>689</v>
      </c>
      <c r="C81" s="341" t="s">
        <v>797</v>
      </c>
      <c r="D81" s="284"/>
      <c r="E81" s="284"/>
      <c r="F81" s="284"/>
      <c r="G81" s="284"/>
      <c r="H81" s="284"/>
      <c r="I81" s="284"/>
      <c r="J81" s="284">
        <v>7.5</v>
      </c>
      <c r="K81" s="287">
        <f t="shared" si="0"/>
        <v>0.98131574815512634</v>
      </c>
      <c r="L81" s="356">
        <v>15</v>
      </c>
      <c r="M81" s="284">
        <f>2+2</f>
        <v>4</v>
      </c>
      <c r="N81" s="287">
        <f t="shared" si="1"/>
        <v>0.52336839901606746</v>
      </c>
      <c r="O81" s="287">
        <f>4+4</f>
        <v>8</v>
      </c>
      <c r="P81" s="284">
        <v>0</v>
      </c>
      <c r="Q81" s="287">
        <f t="shared" si="2"/>
        <v>0</v>
      </c>
      <c r="R81" s="284">
        <f t="shared" si="3"/>
        <v>0</v>
      </c>
      <c r="S81" s="284">
        <v>0</v>
      </c>
      <c r="T81" s="287">
        <f t="shared" si="4"/>
        <v>0</v>
      </c>
      <c r="U81" s="287"/>
      <c r="V81" s="283"/>
      <c r="W81" s="287"/>
      <c r="X81" s="287"/>
      <c r="Y81" s="287"/>
      <c r="Z81" s="287"/>
      <c r="AA81" s="287"/>
      <c r="AB81" s="287"/>
      <c r="AC81" s="287"/>
      <c r="AD81" s="287"/>
      <c r="AE81" s="287"/>
      <c r="AF81" s="287"/>
      <c r="AG81" s="287"/>
      <c r="AH81" s="287"/>
      <c r="AI81" s="284"/>
      <c r="AJ81" s="284"/>
      <c r="AK81" s="360"/>
      <c r="AL81" s="305"/>
      <c r="AM81" s="305"/>
      <c r="AN81" s="305"/>
      <c r="AO81" s="305"/>
      <c r="AP81" s="305"/>
      <c r="AQ81" s="305"/>
      <c r="AR81" s="305"/>
      <c r="AS81" s="305"/>
      <c r="AT81" s="305"/>
      <c r="AU81" s="305"/>
    </row>
    <row r="82" spans="1:47" s="306" customFormat="1" ht="40.5">
      <c r="A82" s="308" t="s">
        <v>299</v>
      </c>
      <c r="B82" s="353" t="s">
        <v>690</v>
      </c>
      <c r="C82" s="341" t="s">
        <v>797</v>
      </c>
      <c r="D82" s="284"/>
      <c r="E82" s="284"/>
      <c r="F82" s="284"/>
      <c r="G82" s="284"/>
      <c r="H82" s="284"/>
      <c r="I82" s="284"/>
      <c r="J82" s="284">
        <v>1</v>
      </c>
      <c r="K82" s="287">
        <f t="shared" si="0"/>
        <v>0.13084209975401687</v>
      </c>
      <c r="L82" s="356">
        <v>2</v>
      </c>
      <c r="M82" s="284">
        <f>0+1</f>
        <v>1</v>
      </c>
      <c r="N82" s="287">
        <f t="shared" si="1"/>
        <v>0.13084209975401687</v>
      </c>
      <c r="O82" s="287">
        <f>0+2</f>
        <v>2</v>
      </c>
      <c r="P82" s="284">
        <v>0</v>
      </c>
      <c r="Q82" s="287">
        <f t="shared" si="2"/>
        <v>0</v>
      </c>
      <c r="R82" s="284">
        <f t="shared" si="3"/>
        <v>0</v>
      </c>
      <c r="S82" s="284">
        <v>0</v>
      </c>
      <c r="T82" s="287">
        <f t="shared" si="4"/>
        <v>0</v>
      </c>
      <c r="U82" s="287"/>
      <c r="V82" s="283"/>
      <c r="W82" s="287"/>
      <c r="X82" s="287"/>
      <c r="Y82" s="287"/>
      <c r="Z82" s="287"/>
      <c r="AA82" s="287"/>
      <c r="AB82" s="287"/>
      <c r="AC82" s="287"/>
      <c r="AD82" s="287"/>
      <c r="AE82" s="287"/>
      <c r="AF82" s="287"/>
      <c r="AG82" s="287"/>
      <c r="AH82" s="287"/>
      <c r="AI82" s="284"/>
      <c r="AJ82" s="284"/>
      <c r="AK82" s="360"/>
      <c r="AL82" s="305"/>
      <c r="AM82" s="305"/>
      <c r="AN82" s="305"/>
      <c r="AO82" s="305"/>
      <c r="AP82" s="305"/>
      <c r="AQ82" s="305"/>
      <c r="AR82" s="305"/>
      <c r="AS82" s="305"/>
      <c r="AT82" s="305"/>
      <c r="AU82" s="305"/>
    </row>
    <row r="83" spans="1:47" s="306" customFormat="1" ht="39">
      <c r="A83" s="308" t="s">
        <v>301</v>
      </c>
      <c r="B83" s="304" t="s">
        <v>691</v>
      </c>
      <c r="C83" s="341" t="s">
        <v>797</v>
      </c>
      <c r="D83" s="284"/>
      <c r="E83" s="284"/>
      <c r="F83" s="284"/>
      <c r="G83" s="284"/>
      <c r="H83" s="284"/>
      <c r="I83" s="284"/>
      <c r="J83" s="284">
        <v>1</v>
      </c>
      <c r="K83" s="287">
        <f t="shared" si="0"/>
        <v>1.9626314963102527</v>
      </c>
      <c r="L83" s="356">
        <v>30</v>
      </c>
      <c r="M83" s="284">
        <f>0+1</f>
        <v>1</v>
      </c>
      <c r="N83" s="287">
        <f t="shared" si="1"/>
        <v>0.98131574815512634</v>
      </c>
      <c r="O83" s="287">
        <f>0+15</f>
        <v>15</v>
      </c>
      <c r="P83" s="284">
        <v>0</v>
      </c>
      <c r="Q83" s="287">
        <f t="shared" si="2"/>
        <v>0</v>
      </c>
      <c r="R83" s="284">
        <f t="shared" si="3"/>
        <v>0</v>
      </c>
      <c r="S83" s="284">
        <v>0</v>
      </c>
      <c r="T83" s="287">
        <f t="shared" si="4"/>
        <v>0</v>
      </c>
      <c r="U83" s="287"/>
      <c r="V83" s="283"/>
      <c r="W83" s="287"/>
      <c r="X83" s="287"/>
      <c r="Y83" s="287"/>
      <c r="Z83" s="287"/>
      <c r="AA83" s="287"/>
      <c r="AB83" s="287"/>
      <c r="AC83" s="287"/>
      <c r="AD83" s="287"/>
      <c r="AE83" s="287"/>
      <c r="AF83" s="287"/>
      <c r="AG83" s="287"/>
      <c r="AH83" s="287"/>
      <c r="AI83" s="284"/>
      <c r="AJ83" s="284"/>
      <c r="AK83" s="360"/>
      <c r="AL83" s="305"/>
      <c r="AM83" s="305"/>
      <c r="AN83" s="305"/>
      <c r="AO83" s="305"/>
      <c r="AP83" s="305"/>
      <c r="AQ83" s="305"/>
      <c r="AR83" s="305"/>
      <c r="AS83" s="305"/>
      <c r="AT83" s="305"/>
      <c r="AU83" s="305"/>
    </row>
    <row r="84" spans="1:47" s="306" customFormat="1" ht="58.5">
      <c r="A84" s="308" t="s">
        <v>692</v>
      </c>
      <c r="B84" s="304" t="s">
        <v>693</v>
      </c>
      <c r="C84" s="341" t="s">
        <v>797</v>
      </c>
      <c r="D84" s="284"/>
      <c r="E84" s="284"/>
      <c r="F84" s="284"/>
      <c r="G84" s="284"/>
      <c r="H84" s="284"/>
      <c r="I84" s="284"/>
      <c r="J84" s="284">
        <v>1</v>
      </c>
      <c r="K84" s="287">
        <f t="shared" si="0"/>
        <v>1.3084209975401686</v>
      </c>
      <c r="L84" s="356">
        <v>20</v>
      </c>
      <c r="M84" s="284">
        <f>0+1</f>
        <v>1</v>
      </c>
      <c r="N84" s="287">
        <f t="shared" si="1"/>
        <v>0.6542104987700843</v>
      </c>
      <c r="O84" s="287">
        <f>0+10</f>
        <v>10</v>
      </c>
      <c r="P84" s="284">
        <v>0</v>
      </c>
      <c r="Q84" s="287">
        <f t="shared" si="2"/>
        <v>0</v>
      </c>
      <c r="R84" s="284">
        <f t="shared" si="3"/>
        <v>0</v>
      </c>
      <c r="S84" s="284">
        <v>0</v>
      </c>
      <c r="T84" s="287">
        <f t="shared" si="4"/>
        <v>0</v>
      </c>
      <c r="U84" s="287"/>
      <c r="V84" s="283"/>
      <c r="W84" s="287"/>
      <c r="X84" s="287"/>
      <c r="Y84" s="287"/>
      <c r="Z84" s="287"/>
      <c r="AA84" s="287"/>
      <c r="AB84" s="287"/>
      <c r="AC84" s="287"/>
      <c r="AD84" s="287"/>
      <c r="AE84" s="287"/>
      <c r="AF84" s="287"/>
      <c r="AG84" s="287"/>
      <c r="AH84" s="287"/>
      <c r="AI84" s="284"/>
      <c r="AJ84" s="284"/>
      <c r="AK84" s="360"/>
      <c r="AL84" s="305"/>
      <c r="AM84" s="305"/>
      <c r="AN84" s="305"/>
      <c r="AO84" s="305"/>
      <c r="AP84" s="305"/>
      <c r="AQ84" s="305"/>
      <c r="AR84" s="305"/>
      <c r="AS84" s="305"/>
      <c r="AT84" s="305"/>
      <c r="AU84" s="305"/>
    </row>
    <row r="85" spans="1:47" s="306" customFormat="1" ht="39">
      <c r="A85" s="304" t="s">
        <v>305</v>
      </c>
      <c r="B85" s="304" t="s">
        <v>694</v>
      </c>
      <c r="C85" s="341" t="s">
        <v>797</v>
      </c>
      <c r="D85" s="284"/>
      <c r="E85" s="284"/>
      <c r="F85" s="284"/>
      <c r="G85" s="284"/>
      <c r="H85" s="284"/>
      <c r="I85" s="284"/>
      <c r="J85" s="284">
        <v>5</v>
      </c>
      <c r="K85" s="287">
        <f t="shared" si="0"/>
        <v>0.32710524938504215</v>
      </c>
      <c r="L85" s="356">
        <v>5</v>
      </c>
      <c r="M85" s="284">
        <f>0+5</f>
        <v>5</v>
      </c>
      <c r="N85" s="287">
        <f t="shared" si="1"/>
        <v>0.32710524938504215</v>
      </c>
      <c r="O85" s="287">
        <f>0+5</f>
        <v>5</v>
      </c>
      <c r="P85" s="284">
        <v>0</v>
      </c>
      <c r="Q85" s="287">
        <f t="shared" si="2"/>
        <v>0</v>
      </c>
      <c r="R85" s="284">
        <f t="shared" si="3"/>
        <v>0</v>
      </c>
      <c r="S85" s="284">
        <v>4.68</v>
      </c>
      <c r="T85" s="287">
        <f t="shared" si="4"/>
        <v>93.6</v>
      </c>
      <c r="U85" s="287"/>
      <c r="V85" s="283"/>
      <c r="W85" s="287"/>
      <c r="X85" s="287"/>
      <c r="Y85" s="287"/>
      <c r="Z85" s="287"/>
      <c r="AA85" s="287"/>
      <c r="AB85" s="287"/>
      <c r="AC85" s="287"/>
      <c r="AD85" s="287"/>
      <c r="AE85" s="287"/>
      <c r="AF85" s="287"/>
      <c r="AG85" s="287"/>
      <c r="AH85" s="287"/>
      <c r="AI85" s="284"/>
      <c r="AJ85" s="284"/>
      <c r="AK85" s="360"/>
      <c r="AL85" s="305"/>
      <c r="AM85" s="305"/>
      <c r="AN85" s="305"/>
      <c r="AO85" s="305"/>
      <c r="AP85" s="305"/>
      <c r="AQ85" s="305"/>
      <c r="AR85" s="305"/>
      <c r="AS85" s="305"/>
      <c r="AT85" s="305"/>
      <c r="AU85" s="305"/>
    </row>
    <row r="86" spans="1:47" s="306" customFormat="1" ht="58.5">
      <c r="A86" s="304" t="s">
        <v>307</v>
      </c>
      <c r="B86" s="304" t="s">
        <v>695</v>
      </c>
      <c r="C86" s="341" t="s">
        <v>797</v>
      </c>
      <c r="D86" s="284"/>
      <c r="E86" s="284"/>
      <c r="F86" s="284"/>
      <c r="G86" s="284"/>
      <c r="H86" s="284"/>
      <c r="I86" s="284"/>
      <c r="J86" s="284">
        <v>1</v>
      </c>
      <c r="K86" s="287">
        <f t="shared" si="0"/>
        <v>0.98131574815512634</v>
      </c>
      <c r="L86" s="356">
        <v>15</v>
      </c>
      <c r="M86" s="284">
        <f>0+1</f>
        <v>1</v>
      </c>
      <c r="N86" s="287">
        <f t="shared" si="1"/>
        <v>0.32710524938504215</v>
      </c>
      <c r="O86" s="287">
        <f>0+5</f>
        <v>5</v>
      </c>
      <c r="P86" s="284">
        <v>0</v>
      </c>
      <c r="Q86" s="287">
        <f t="shared" si="2"/>
        <v>0</v>
      </c>
      <c r="R86" s="284">
        <f t="shared" si="3"/>
        <v>0</v>
      </c>
      <c r="S86" s="284">
        <v>0</v>
      </c>
      <c r="T86" s="287">
        <f t="shared" si="4"/>
        <v>0</v>
      </c>
      <c r="U86" s="287"/>
      <c r="V86" s="283"/>
      <c r="W86" s="287"/>
      <c r="X86" s="287"/>
      <c r="Y86" s="287"/>
      <c r="Z86" s="287"/>
      <c r="AA86" s="287"/>
      <c r="AB86" s="287"/>
      <c r="AC86" s="287"/>
      <c r="AD86" s="287"/>
      <c r="AE86" s="287"/>
      <c r="AF86" s="287"/>
      <c r="AG86" s="287"/>
      <c r="AH86" s="287"/>
      <c r="AI86" s="284"/>
      <c r="AJ86" s="284"/>
      <c r="AK86" s="360"/>
      <c r="AL86" s="305"/>
      <c r="AM86" s="305"/>
      <c r="AN86" s="305"/>
      <c r="AO86" s="305"/>
      <c r="AP86" s="305"/>
      <c r="AQ86" s="305"/>
      <c r="AR86" s="305"/>
      <c r="AS86" s="305"/>
      <c r="AT86" s="305"/>
      <c r="AU86" s="305"/>
    </row>
    <row r="87" spans="1:47" s="306" customFormat="1" ht="39">
      <c r="A87" s="304" t="s">
        <v>309</v>
      </c>
      <c r="B87" s="304" t="s">
        <v>696</v>
      </c>
      <c r="C87" s="341" t="s">
        <v>797</v>
      </c>
      <c r="D87" s="284"/>
      <c r="E87" s="284"/>
      <c r="F87" s="284"/>
      <c r="G87" s="284"/>
      <c r="H87" s="284"/>
      <c r="I87" s="284"/>
      <c r="J87" s="284">
        <v>1</v>
      </c>
      <c r="K87" s="287">
        <f t="shared" ref="K87:K134" si="12">(L87/1528.56)*100</f>
        <v>6.542104987700843</v>
      </c>
      <c r="L87" s="356">
        <v>100</v>
      </c>
      <c r="M87" s="284">
        <f>1+1</f>
        <v>2</v>
      </c>
      <c r="N87" s="287">
        <f t="shared" ref="N87:N134" si="13">O87/1528.56*100</f>
        <v>4.2523682420055477</v>
      </c>
      <c r="O87" s="287">
        <f>30+35</f>
        <v>65</v>
      </c>
      <c r="P87" s="284">
        <v>1</v>
      </c>
      <c r="Q87" s="287">
        <f t="shared" ref="Q87:Q134" si="14">IF(M87=0,P87/J87*K87,P87/M87*N87)</f>
        <v>2.1261841210027739</v>
      </c>
      <c r="R87" s="284">
        <f t="shared" ref="R87:R134" si="15">ROUND(IF(N87=0,Q87/K87*100,Q87/N87*100),2)</f>
        <v>50</v>
      </c>
      <c r="S87" s="284">
        <v>17.77</v>
      </c>
      <c r="T87" s="287">
        <f t="shared" ref="T87:T134" si="16">IFERROR(S87/O87*100,0)</f>
        <v>27.338461538461541</v>
      </c>
      <c r="U87" s="287"/>
      <c r="V87" s="283"/>
      <c r="W87" s="287"/>
      <c r="X87" s="287"/>
      <c r="Y87" s="287"/>
      <c r="Z87" s="287"/>
      <c r="AA87" s="287"/>
      <c r="AB87" s="287"/>
      <c r="AC87" s="287"/>
      <c r="AD87" s="287"/>
      <c r="AE87" s="287"/>
      <c r="AF87" s="287"/>
      <c r="AG87" s="287"/>
      <c r="AH87" s="287"/>
      <c r="AI87" s="284"/>
      <c r="AJ87" s="284"/>
      <c r="AK87" s="360"/>
      <c r="AL87" s="305"/>
      <c r="AM87" s="305"/>
      <c r="AN87" s="305"/>
      <c r="AO87" s="305"/>
      <c r="AP87" s="305"/>
      <c r="AQ87" s="305"/>
      <c r="AR87" s="305"/>
      <c r="AS87" s="305"/>
      <c r="AT87" s="305"/>
      <c r="AU87" s="305"/>
    </row>
    <row r="88" spans="1:47" s="306" customFormat="1" ht="39">
      <c r="A88" s="304" t="s">
        <v>311</v>
      </c>
      <c r="B88" s="304" t="s">
        <v>697</v>
      </c>
      <c r="C88" s="341" t="s">
        <v>797</v>
      </c>
      <c r="D88" s="284"/>
      <c r="E88" s="284"/>
      <c r="F88" s="284"/>
      <c r="G88" s="284"/>
      <c r="H88" s="284"/>
      <c r="I88" s="284"/>
      <c r="J88" s="284">
        <v>1</v>
      </c>
      <c r="K88" s="287">
        <f t="shared" si="12"/>
        <v>6.5421049877008433E-2</v>
      </c>
      <c r="L88" s="356">
        <v>1</v>
      </c>
      <c r="M88" s="284">
        <f>0+1</f>
        <v>1</v>
      </c>
      <c r="N88" s="287">
        <f t="shared" si="13"/>
        <v>6.5421049877008433E-2</v>
      </c>
      <c r="O88" s="287">
        <f>0+1</f>
        <v>1</v>
      </c>
      <c r="P88" s="284">
        <v>0</v>
      </c>
      <c r="Q88" s="287">
        <f t="shared" si="14"/>
        <v>0</v>
      </c>
      <c r="R88" s="284">
        <f t="shared" si="15"/>
        <v>0</v>
      </c>
      <c r="S88" s="284">
        <v>0</v>
      </c>
      <c r="T88" s="287">
        <f t="shared" si="16"/>
        <v>0</v>
      </c>
      <c r="U88" s="287"/>
      <c r="V88" s="283"/>
      <c r="W88" s="287"/>
      <c r="X88" s="287"/>
      <c r="Y88" s="287"/>
      <c r="Z88" s="287"/>
      <c r="AA88" s="287"/>
      <c r="AB88" s="287"/>
      <c r="AC88" s="287"/>
      <c r="AD88" s="287"/>
      <c r="AE88" s="287"/>
      <c r="AF88" s="287"/>
      <c r="AG88" s="287"/>
      <c r="AH88" s="287"/>
      <c r="AI88" s="284"/>
      <c r="AJ88" s="284"/>
      <c r="AK88" s="360"/>
      <c r="AL88" s="305"/>
      <c r="AM88" s="305"/>
      <c r="AN88" s="305"/>
      <c r="AO88" s="305"/>
      <c r="AP88" s="305"/>
      <c r="AQ88" s="305"/>
      <c r="AR88" s="305"/>
      <c r="AS88" s="305"/>
      <c r="AT88" s="305"/>
      <c r="AU88" s="305"/>
    </row>
    <row r="89" spans="1:47" s="306" customFormat="1" ht="39">
      <c r="A89" s="304" t="s">
        <v>313</v>
      </c>
      <c r="B89" s="304" t="s">
        <v>698</v>
      </c>
      <c r="C89" s="341" t="s">
        <v>797</v>
      </c>
      <c r="D89" s="284"/>
      <c r="E89" s="284"/>
      <c r="F89" s="284"/>
      <c r="G89" s="284"/>
      <c r="H89" s="284"/>
      <c r="I89" s="284"/>
      <c r="J89" s="284">
        <v>1</v>
      </c>
      <c r="K89" s="287">
        <f t="shared" si="12"/>
        <v>6.5421049877008433E-2</v>
      </c>
      <c r="L89" s="356">
        <v>1</v>
      </c>
      <c r="M89" s="284">
        <f>0+1</f>
        <v>1</v>
      </c>
      <c r="N89" s="287">
        <f t="shared" si="13"/>
        <v>6.5421049877008433E-2</v>
      </c>
      <c r="O89" s="287">
        <f>0+1</f>
        <v>1</v>
      </c>
      <c r="P89" s="284">
        <v>0</v>
      </c>
      <c r="Q89" s="287">
        <f t="shared" si="14"/>
        <v>0</v>
      </c>
      <c r="R89" s="284">
        <f t="shared" si="15"/>
        <v>0</v>
      </c>
      <c r="S89" s="284">
        <v>0</v>
      </c>
      <c r="T89" s="287">
        <f t="shared" si="16"/>
        <v>0</v>
      </c>
      <c r="U89" s="287"/>
      <c r="V89" s="283"/>
      <c r="W89" s="287"/>
      <c r="X89" s="287"/>
      <c r="Y89" s="287"/>
      <c r="Z89" s="287"/>
      <c r="AA89" s="287"/>
      <c r="AB89" s="287"/>
      <c r="AC89" s="287"/>
      <c r="AD89" s="287"/>
      <c r="AE89" s="287"/>
      <c r="AF89" s="287"/>
      <c r="AG89" s="287"/>
      <c r="AH89" s="287"/>
      <c r="AI89" s="284"/>
      <c r="AJ89" s="284"/>
      <c r="AK89" s="360"/>
      <c r="AL89" s="305"/>
      <c r="AM89" s="305"/>
      <c r="AN89" s="305"/>
      <c r="AO89" s="305"/>
      <c r="AP89" s="305"/>
      <c r="AQ89" s="305"/>
      <c r="AR89" s="305"/>
      <c r="AS89" s="305"/>
      <c r="AT89" s="305"/>
      <c r="AU89" s="305"/>
    </row>
    <row r="90" spans="1:47" s="306" customFormat="1" ht="39">
      <c r="A90" s="304" t="s">
        <v>315</v>
      </c>
      <c r="B90" s="304" t="s">
        <v>699</v>
      </c>
      <c r="C90" s="341" t="s">
        <v>797</v>
      </c>
      <c r="D90" s="284"/>
      <c r="E90" s="284"/>
      <c r="F90" s="284"/>
      <c r="G90" s="284"/>
      <c r="H90" s="284"/>
      <c r="I90" s="284"/>
      <c r="J90" s="284">
        <v>1</v>
      </c>
      <c r="K90" s="287">
        <f t="shared" si="12"/>
        <v>6.5421049877008433E-2</v>
      </c>
      <c r="L90" s="356">
        <v>1</v>
      </c>
      <c r="M90" s="284">
        <f>0+1</f>
        <v>1</v>
      </c>
      <c r="N90" s="287">
        <f t="shared" si="13"/>
        <v>6.5421049877008433E-2</v>
      </c>
      <c r="O90" s="287">
        <f>0+1</f>
        <v>1</v>
      </c>
      <c r="P90" s="284">
        <v>0</v>
      </c>
      <c r="Q90" s="287">
        <f t="shared" si="14"/>
        <v>0</v>
      </c>
      <c r="R90" s="284">
        <f t="shared" si="15"/>
        <v>0</v>
      </c>
      <c r="S90" s="284">
        <v>0</v>
      </c>
      <c r="T90" s="287">
        <f t="shared" si="16"/>
        <v>0</v>
      </c>
      <c r="U90" s="287"/>
      <c r="V90" s="283"/>
      <c r="W90" s="287"/>
      <c r="X90" s="287"/>
      <c r="Y90" s="287"/>
      <c r="Z90" s="287"/>
      <c r="AA90" s="287"/>
      <c r="AB90" s="287"/>
      <c r="AC90" s="287"/>
      <c r="AD90" s="287"/>
      <c r="AE90" s="287"/>
      <c r="AF90" s="287"/>
      <c r="AG90" s="287"/>
      <c r="AH90" s="287"/>
      <c r="AI90" s="284"/>
      <c r="AJ90" s="284"/>
      <c r="AK90" s="360"/>
      <c r="AL90" s="305"/>
      <c r="AM90" s="305"/>
      <c r="AN90" s="305"/>
      <c r="AO90" s="305"/>
      <c r="AP90" s="305"/>
      <c r="AQ90" s="305"/>
      <c r="AR90" s="305"/>
      <c r="AS90" s="305"/>
      <c r="AT90" s="305"/>
      <c r="AU90" s="305"/>
    </row>
    <row r="91" spans="1:47" s="306" customFormat="1" ht="58.5">
      <c r="A91" s="304" t="s">
        <v>317</v>
      </c>
      <c r="B91" s="304" t="s">
        <v>700</v>
      </c>
      <c r="C91" s="341" t="s">
        <v>797</v>
      </c>
      <c r="D91" s="284"/>
      <c r="E91" s="284"/>
      <c r="F91" s="284"/>
      <c r="G91" s="284"/>
      <c r="H91" s="284"/>
      <c r="I91" s="284"/>
      <c r="J91" s="284">
        <v>1</v>
      </c>
      <c r="K91" s="287">
        <f t="shared" si="12"/>
        <v>6.5421049877008433E-2</v>
      </c>
      <c r="L91" s="356">
        <v>1</v>
      </c>
      <c r="M91" s="284">
        <f>0+1</f>
        <v>1</v>
      </c>
      <c r="N91" s="287">
        <f t="shared" si="13"/>
        <v>6.5421049877008433E-2</v>
      </c>
      <c r="O91" s="287">
        <f>0+1</f>
        <v>1</v>
      </c>
      <c r="P91" s="284">
        <v>0</v>
      </c>
      <c r="Q91" s="287">
        <f t="shared" si="14"/>
        <v>0</v>
      </c>
      <c r="R91" s="284">
        <f t="shared" si="15"/>
        <v>0</v>
      </c>
      <c r="S91" s="284">
        <v>0</v>
      </c>
      <c r="T91" s="287">
        <f t="shared" si="16"/>
        <v>0</v>
      </c>
      <c r="U91" s="287"/>
      <c r="V91" s="283"/>
      <c r="W91" s="287"/>
      <c r="X91" s="287"/>
      <c r="Y91" s="287"/>
      <c r="Z91" s="287"/>
      <c r="AA91" s="287"/>
      <c r="AB91" s="287"/>
      <c r="AC91" s="287"/>
      <c r="AD91" s="287"/>
      <c r="AE91" s="287"/>
      <c r="AF91" s="287"/>
      <c r="AG91" s="287"/>
      <c r="AH91" s="287"/>
      <c r="AI91" s="284"/>
      <c r="AJ91" s="284"/>
      <c r="AK91" s="360"/>
      <c r="AL91" s="305"/>
      <c r="AM91" s="305"/>
      <c r="AN91" s="305"/>
      <c r="AO91" s="305"/>
      <c r="AP91" s="305"/>
      <c r="AQ91" s="305"/>
      <c r="AR91" s="305"/>
      <c r="AS91" s="305"/>
      <c r="AT91" s="305"/>
      <c r="AU91" s="305"/>
    </row>
    <row r="92" spans="1:47" s="306" customFormat="1" ht="58.5">
      <c r="A92" s="304" t="s">
        <v>319</v>
      </c>
      <c r="B92" s="304" t="s">
        <v>701</v>
      </c>
      <c r="C92" s="341" t="s">
        <v>797</v>
      </c>
      <c r="D92" s="284"/>
      <c r="E92" s="284"/>
      <c r="F92" s="284"/>
      <c r="G92" s="284"/>
      <c r="H92" s="284"/>
      <c r="I92" s="284"/>
      <c r="J92" s="284">
        <v>1</v>
      </c>
      <c r="K92" s="287">
        <f t="shared" si="12"/>
        <v>6.5421049877008433E-2</v>
      </c>
      <c r="L92" s="356">
        <v>1</v>
      </c>
      <c r="M92" s="284">
        <f>0+1</f>
        <v>1</v>
      </c>
      <c r="N92" s="287">
        <f t="shared" si="13"/>
        <v>6.5421049877008433E-2</v>
      </c>
      <c r="O92" s="287">
        <f>0+1</f>
        <v>1</v>
      </c>
      <c r="P92" s="284">
        <v>0</v>
      </c>
      <c r="Q92" s="287">
        <f t="shared" si="14"/>
        <v>0</v>
      </c>
      <c r="R92" s="284">
        <f t="shared" si="15"/>
        <v>0</v>
      </c>
      <c r="S92" s="284">
        <v>0</v>
      </c>
      <c r="T92" s="287">
        <f t="shared" si="16"/>
        <v>0</v>
      </c>
      <c r="U92" s="287"/>
      <c r="V92" s="283"/>
      <c r="W92" s="287"/>
      <c r="X92" s="287"/>
      <c r="Y92" s="287"/>
      <c r="Z92" s="287"/>
      <c r="AA92" s="287"/>
      <c r="AB92" s="287"/>
      <c r="AC92" s="287"/>
      <c r="AD92" s="287"/>
      <c r="AE92" s="287"/>
      <c r="AF92" s="287"/>
      <c r="AG92" s="287"/>
      <c r="AH92" s="287"/>
      <c r="AI92" s="284"/>
      <c r="AJ92" s="284"/>
      <c r="AK92" s="360"/>
      <c r="AL92" s="305"/>
      <c r="AM92" s="305"/>
      <c r="AN92" s="305"/>
      <c r="AO92" s="305"/>
      <c r="AP92" s="305"/>
      <c r="AQ92" s="305"/>
      <c r="AR92" s="305"/>
      <c r="AS92" s="305"/>
      <c r="AT92" s="305"/>
      <c r="AU92" s="305"/>
    </row>
    <row r="93" spans="1:47" s="306" customFormat="1" ht="39">
      <c r="A93" s="304" t="s">
        <v>321</v>
      </c>
      <c r="B93" s="304" t="s">
        <v>702</v>
      </c>
      <c r="C93" s="341" t="s">
        <v>797</v>
      </c>
      <c r="D93" s="284"/>
      <c r="E93" s="284"/>
      <c r="F93" s="284"/>
      <c r="G93" s="284"/>
      <c r="H93" s="284"/>
      <c r="I93" s="284"/>
      <c r="J93" s="284">
        <v>20.67</v>
      </c>
      <c r="K93" s="287">
        <f t="shared" si="12"/>
        <v>2.0280525461872614</v>
      </c>
      <c r="L93" s="356">
        <v>31</v>
      </c>
      <c r="M93" s="284">
        <f>10+11</f>
        <v>21</v>
      </c>
      <c r="N93" s="287">
        <f t="shared" si="13"/>
        <v>2.0280525461872614</v>
      </c>
      <c r="O93" s="287">
        <f>15+16</f>
        <v>31</v>
      </c>
      <c r="P93" s="284">
        <v>5</v>
      </c>
      <c r="Q93" s="287">
        <f t="shared" si="14"/>
        <v>0.48286965385410985</v>
      </c>
      <c r="R93" s="284">
        <f t="shared" si="15"/>
        <v>23.81</v>
      </c>
      <c r="S93" s="284">
        <v>3.54</v>
      </c>
      <c r="T93" s="287">
        <f t="shared" si="16"/>
        <v>11.419354838709678</v>
      </c>
      <c r="U93" s="287"/>
      <c r="V93" s="283"/>
      <c r="W93" s="287"/>
      <c r="X93" s="287"/>
      <c r="Y93" s="287"/>
      <c r="Z93" s="287"/>
      <c r="AA93" s="287"/>
      <c r="AB93" s="287"/>
      <c r="AC93" s="287"/>
      <c r="AD93" s="287"/>
      <c r="AE93" s="287"/>
      <c r="AF93" s="287"/>
      <c r="AG93" s="287"/>
      <c r="AH93" s="287"/>
      <c r="AI93" s="284"/>
      <c r="AJ93" s="284"/>
      <c r="AK93" s="360"/>
      <c r="AL93" s="305"/>
      <c r="AM93" s="305"/>
      <c r="AN93" s="305"/>
      <c r="AO93" s="305"/>
      <c r="AP93" s="305"/>
      <c r="AQ93" s="305"/>
      <c r="AR93" s="305"/>
      <c r="AS93" s="305"/>
      <c r="AT93" s="305"/>
      <c r="AU93" s="305"/>
    </row>
    <row r="94" spans="1:47" s="306" customFormat="1" ht="39">
      <c r="A94" s="304" t="s">
        <v>325</v>
      </c>
      <c r="B94" s="304" t="s">
        <v>703</v>
      </c>
      <c r="C94" s="341" t="s">
        <v>797</v>
      </c>
      <c r="D94" s="284"/>
      <c r="E94" s="284"/>
      <c r="F94" s="284"/>
      <c r="G94" s="284"/>
      <c r="H94" s="284"/>
      <c r="I94" s="284"/>
      <c r="J94" s="284">
        <v>10</v>
      </c>
      <c r="K94" s="287">
        <f t="shared" si="12"/>
        <v>1.3084209975401686</v>
      </c>
      <c r="L94" s="356">
        <v>20</v>
      </c>
      <c r="M94" s="284">
        <f>5+5</f>
        <v>10</v>
      </c>
      <c r="N94" s="287">
        <f t="shared" si="13"/>
        <v>1.3084209975401686</v>
      </c>
      <c r="O94" s="287">
        <f>10+10</f>
        <v>20</v>
      </c>
      <c r="P94" s="284">
        <v>5</v>
      </c>
      <c r="Q94" s="287">
        <f t="shared" si="14"/>
        <v>0.6542104987700843</v>
      </c>
      <c r="R94" s="284">
        <f t="shared" si="15"/>
        <v>50</v>
      </c>
      <c r="S94" s="284">
        <v>5.35</v>
      </c>
      <c r="T94" s="287">
        <f t="shared" si="16"/>
        <v>26.749999999999996</v>
      </c>
      <c r="U94" s="287"/>
      <c r="V94" s="283"/>
      <c r="W94" s="287"/>
      <c r="X94" s="287"/>
      <c r="Y94" s="287"/>
      <c r="Z94" s="287"/>
      <c r="AA94" s="287"/>
      <c r="AB94" s="287"/>
      <c r="AC94" s="287"/>
      <c r="AD94" s="287"/>
      <c r="AE94" s="287"/>
      <c r="AF94" s="287"/>
      <c r="AG94" s="287"/>
      <c r="AH94" s="287"/>
      <c r="AI94" s="284"/>
      <c r="AJ94" s="284"/>
      <c r="AK94" s="360"/>
      <c r="AL94" s="305"/>
      <c r="AM94" s="305"/>
      <c r="AN94" s="305"/>
      <c r="AO94" s="305"/>
      <c r="AP94" s="305"/>
      <c r="AQ94" s="305"/>
      <c r="AR94" s="305"/>
      <c r="AS94" s="305"/>
      <c r="AT94" s="305"/>
      <c r="AU94" s="305"/>
    </row>
    <row r="95" spans="1:47" s="306" customFormat="1" ht="39">
      <c r="A95" s="304" t="s">
        <v>704</v>
      </c>
      <c r="B95" s="346" t="s">
        <v>705</v>
      </c>
      <c r="C95" s="283" t="s">
        <v>795</v>
      </c>
      <c r="D95" s="284"/>
      <c r="E95" s="284"/>
      <c r="F95" s="284"/>
      <c r="G95" s="284"/>
      <c r="H95" s="284"/>
      <c r="I95" s="284"/>
      <c r="J95" s="284">
        <v>1</v>
      </c>
      <c r="K95" s="287">
        <f t="shared" si="12"/>
        <v>4.9065787407756325</v>
      </c>
      <c r="L95" s="356">
        <v>75</v>
      </c>
      <c r="M95" s="284">
        <f>0+1</f>
        <v>1</v>
      </c>
      <c r="N95" s="287">
        <f t="shared" si="13"/>
        <v>2.6168419950803372</v>
      </c>
      <c r="O95" s="287">
        <f>0+40</f>
        <v>40</v>
      </c>
      <c r="P95" s="284">
        <v>0.15</v>
      </c>
      <c r="Q95" s="287">
        <f t="shared" si="14"/>
        <v>0.39252629926205057</v>
      </c>
      <c r="R95" s="284">
        <f t="shared" si="15"/>
        <v>15</v>
      </c>
      <c r="S95" s="284">
        <v>0</v>
      </c>
      <c r="T95" s="287">
        <f t="shared" si="16"/>
        <v>0</v>
      </c>
      <c r="U95" s="287"/>
      <c r="V95" s="283"/>
      <c r="W95" s="287"/>
      <c r="X95" s="287"/>
      <c r="Y95" s="287"/>
      <c r="Z95" s="287"/>
      <c r="AA95" s="287"/>
      <c r="AB95" s="287"/>
      <c r="AC95" s="287"/>
      <c r="AD95" s="287"/>
      <c r="AE95" s="287"/>
      <c r="AF95" s="287"/>
      <c r="AG95" s="287"/>
      <c r="AH95" s="287"/>
      <c r="AI95" s="284"/>
      <c r="AJ95" s="284"/>
      <c r="AK95" s="360"/>
      <c r="AL95" s="305"/>
      <c r="AM95" s="305"/>
      <c r="AN95" s="305"/>
      <c r="AO95" s="305"/>
      <c r="AP95" s="305"/>
      <c r="AQ95" s="305"/>
      <c r="AR95" s="305"/>
      <c r="AS95" s="305"/>
      <c r="AT95" s="305"/>
      <c r="AU95" s="305"/>
    </row>
    <row r="96" spans="1:47" s="306" customFormat="1" ht="39">
      <c r="A96" s="304" t="s">
        <v>327</v>
      </c>
      <c r="B96" s="304" t="s">
        <v>706</v>
      </c>
      <c r="C96" s="341" t="s">
        <v>797</v>
      </c>
      <c r="D96" s="284"/>
      <c r="E96" s="284"/>
      <c r="F96" s="284"/>
      <c r="G96" s="284"/>
      <c r="H96" s="284"/>
      <c r="I96" s="284"/>
      <c r="J96" s="284">
        <v>1</v>
      </c>
      <c r="K96" s="287">
        <f t="shared" si="12"/>
        <v>6.5421049877008433E-2</v>
      </c>
      <c r="L96" s="356">
        <v>1</v>
      </c>
      <c r="M96" s="284">
        <f>0+1</f>
        <v>1</v>
      </c>
      <c r="N96" s="287">
        <f t="shared" si="13"/>
        <v>6.5421049877008433E-2</v>
      </c>
      <c r="O96" s="287">
        <f>0+1</f>
        <v>1</v>
      </c>
      <c r="P96" s="284">
        <v>0</v>
      </c>
      <c r="Q96" s="287">
        <f t="shared" si="14"/>
        <v>0</v>
      </c>
      <c r="R96" s="284">
        <f t="shared" si="15"/>
        <v>0</v>
      </c>
      <c r="S96" s="284">
        <v>0</v>
      </c>
      <c r="T96" s="287">
        <f t="shared" si="16"/>
        <v>0</v>
      </c>
      <c r="U96" s="287"/>
      <c r="V96" s="283"/>
      <c r="W96" s="287"/>
      <c r="X96" s="287"/>
      <c r="Y96" s="287"/>
      <c r="Z96" s="287"/>
      <c r="AA96" s="287"/>
      <c r="AB96" s="287"/>
      <c r="AC96" s="287"/>
      <c r="AD96" s="287"/>
      <c r="AE96" s="287"/>
      <c r="AF96" s="287"/>
      <c r="AG96" s="287"/>
      <c r="AH96" s="287"/>
      <c r="AI96" s="284"/>
      <c r="AJ96" s="284"/>
      <c r="AK96" s="360"/>
      <c r="AL96" s="305"/>
      <c r="AM96" s="305"/>
      <c r="AN96" s="305"/>
      <c r="AO96" s="305"/>
      <c r="AP96" s="305"/>
      <c r="AQ96" s="305"/>
      <c r="AR96" s="305"/>
      <c r="AS96" s="305"/>
      <c r="AT96" s="305"/>
      <c r="AU96" s="305"/>
    </row>
    <row r="97" spans="1:47" s="306" customFormat="1" ht="39">
      <c r="A97" s="304" t="s">
        <v>329</v>
      </c>
      <c r="B97" s="304" t="s">
        <v>707</v>
      </c>
      <c r="C97" s="341" t="s">
        <v>797</v>
      </c>
      <c r="D97" s="284"/>
      <c r="E97" s="284"/>
      <c r="F97" s="284"/>
      <c r="G97" s="284"/>
      <c r="H97" s="284"/>
      <c r="I97" s="284"/>
      <c r="J97" s="284">
        <v>0.5</v>
      </c>
      <c r="K97" s="287">
        <f t="shared" si="12"/>
        <v>3.2710524938504217E-2</v>
      </c>
      <c r="L97" s="356">
        <v>0.5</v>
      </c>
      <c r="M97" s="284">
        <f>0+0.5</f>
        <v>0.5</v>
      </c>
      <c r="N97" s="287">
        <f t="shared" si="13"/>
        <v>3.2710524938504217E-2</v>
      </c>
      <c r="O97" s="287">
        <f>0+0.5</f>
        <v>0.5</v>
      </c>
      <c r="P97" s="284">
        <v>0</v>
      </c>
      <c r="Q97" s="287">
        <f t="shared" si="14"/>
        <v>0</v>
      </c>
      <c r="R97" s="284">
        <f t="shared" si="15"/>
        <v>0</v>
      </c>
      <c r="S97" s="284">
        <v>0</v>
      </c>
      <c r="T97" s="287">
        <f t="shared" si="16"/>
        <v>0</v>
      </c>
      <c r="U97" s="287"/>
      <c r="V97" s="283"/>
      <c r="W97" s="287"/>
      <c r="X97" s="287"/>
      <c r="Y97" s="287"/>
      <c r="Z97" s="287"/>
      <c r="AA97" s="287"/>
      <c r="AB97" s="287"/>
      <c r="AC97" s="287"/>
      <c r="AD97" s="287"/>
      <c r="AE97" s="287"/>
      <c r="AF97" s="287"/>
      <c r="AG97" s="287"/>
      <c r="AH97" s="287"/>
      <c r="AI97" s="284"/>
      <c r="AJ97" s="284"/>
      <c r="AK97" s="360"/>
      <c r="AL97" s="305"/>
      <c r="AM97" s="305"/>
      <c r="AN97" s="305"/>
      <c r="AO97" s="305"/>
      <c r="AP97" s="305"/>
      <c r="AQ97" s="305"/>
      <c r="AR97" s="305"/>
      <c r="AS97" s="305"/>
      <c r="AT97" s="305"/>
      <c r="AU97" s="305"/>
    </row>
    <row r="98" spans="1:47" s="306" customFormat="1" ht="39">
      <c r="A98" s="304" t="s">
        <v>331</v>
      </c>
      <c r="B98" s="304" t="s">
        <v>708</v>
      </c>
      <c r="C98" s="341" t="s">
        <v>797</v>
      </c>
      <c r="D98" s="284"/>
      <c r="E98" s="284"/>
      <c r="F98" s="284"/>
      <c r="G98" s="284"/>
      <c r="H98" s="284"/>
      <c r="I98" s="284"/>
      <c r="J98" s="284">
        <v>0.5</v>
      </c>
      <c r="K98" s="287">
        <f t="shared" si="12"/>
        <v>3.2710524938504217E-2</v>
      </c>
      <c r="L98" s="356">
        <v>0.5</v>
      </c>
      <c r="M98" s="284">
        <f>0+0.5</f>
        <v>0.5</v>
      </c>
      <c r="N98" s="287">
        <f t="shared" si="13"/>
        <v>3.2710524938504217E-2</v>
      </c>
      <c r="O98" s="287">
        <f>0+0.5</f>
        <v>0.5</v>
      </c>
      <c r="P98" s="284">
        <v>0</v>
      </c>
      <c r="Q98" s="287">
        <f t="shared" si="14"/>
        <v>0</v>
      </c>
      <c r="R98" s="284">
        <f t="shared" si="15"/>
        <v>0</v>
      </c>
      <c r="S98" s="284">
        <v>0</v>
      </c>
      <c r="T98" s="287">
        <f t="shared" si="16"/>
        <v>0</v>
      </c>
      <c r="U98" s="287"/>
      <c r="V98" s="283"/>
      <c r="W98" s="287"/>
      <c r="X98" s="287"/>
      <c r="Y98" s="287"/>
      <c r="Z98" s="287"/>
      <c r="AA98" s="287"/>
      <c r="AB98" s="287"/>
      <c r="AC98" s="287"/>
      <c r="AD98" s="287"/>
      <c r="AE98" s="287"/>
      <c r="AF98" s="287"/>
      <c r="AG98" s="287"/>
      <c r="AH98" s="287"/>
      <c r="AI98" s="284"/>
      <c r="AJ98" s="284"/>
      <c r="AK98" s="360"/>
      <c r="AL98" s="305"/>
      <c r="AM98" s="305"/>
      <c r="AN98" s="305"/>
      <c r="AO98" s="305"/>
      <c r="AP98" s="305"/>
      <c r="AQ98" s="305"/>
      <c r="AR98" s="305"/>
      <c r="AS98" s="305"/>
      <c r="AT98" s="305"/>
      <c r="AU98" s="305"/>
    </row>
    <row r="99" spans="1:47" s="306" customFormat="1" ht="39">
      <c r="A99" s="304" t="s">
        <v>333</v>
      </c>
      <c r="B99" s="304" t="s">
        <v>709</v>
      </c>
      <c r="C99" s="341" t="s">
        <v>797</v>
      </c>
      <c r="D99" s="284"/>
      <c r="E99" s="284"/>
      <c r="F99" s="284"/>
      <c r="G99" s="284"/>
      <c r="H99" s="284"/>
      <c r="I99" s="284"/>
      <c r="J99" s="284">
        <v>0.5</v>
      </c>
      <c r="K99" s="287">
        <f t="shared" si="12"/>
        <v>3.2710524938504217E-2</v>
      </c>
      <c r="L99" s="356">
        <v>0.5</v>
      </c>
      <c r="M99" s="284">
        <f>0+0.5</f>
        <v>0.5</v>
      </c>
      <c r="N99" s="287">
        <f t="shared" si="13"/>
        <v>3.2710524938504217E-2</v>
      </c>
      <c r="O99" s="287">
        <f>0+0.5</f>
        <v>0.5</v>
      </c>
      <c r="P99" s="284">
        <v>0</v>
      </c>
      <c r="Q99" s="287">
        <f t="shared" si="14"/>
        <v>0</v>
      </c>
      <c r="R99" s="284">
        <f t="shared" si="15"/>
        <v>0</v>
      </c>
      <c r="S99" s="284">
        <v>0</v>
      </c>
      <c r="T99" s="287">
        <f t="shared" si="16"/>
        <v>0</v>
      </c>
      <c r="U99" s="287"/>
      <c r="V99" s="283"/>
      <c r="W99" s="287"/>
      <c r="X99" s="287"/>
      <c r="Y99" s="287"/>
      <c r="Z99" s="287"/>
      <c r="AA99" s="287"/>
      <c r="AB99" s="287"/>
      <c r="AC99" s="287"/>
      <c r="AD99" s="287"/>
      <c r="AE99" s="287"/>
      <c r="AF99" s="287"/>
      <c r="AG99" s="287"/>
      <c r="AH99" s="287"/>
      <c r="AI99" s="284"/>
      <c r="AJ99" s="284"/>
      <c r="AK99" s="360"/>
      <c r="AL99" s="305"/>
      <c r="AM99" s="305"/>
      <c r="AN99" s="305"/>
      <c r="AO99" s="305"/>
      <c r="AP99" s="305"/>
      <c r="AQ99" s="305"/>
      <c r="AR99" s="305"/>
      <c r="AS99" s="305"/>
      <c r="AT99" s="305"/>
      <c r="AU99" s="305"/>
    </row>
    <row r="100" spans="1:47" s="306" customFormat="1" ht="39">
      <c r="A100" s="304" t="s">
        <v>335</v>
      </c>
      <c r="B100" s="304" t="s">
        <v>710</v>
      </c>
      <c r="C100" s="341" t="s">
        <v>797</v>
      </c>
      <c r="D100" s="284"/>
      <c r="E100" s="284"/>
      <c r="F100" s="284"/>
      <c r="G100" s="284"/>
      <c r="H100" s="284"/>
      <c r="I100" s="284"/>
      <c r="J100" s="284">
        <v>0.5</v>
      </c>
      <c r="K100" s="287">
        <f t="shared" si="12"/>
        <v>3.2710524938504217E-2</v>
      </c>
      <c r="L100" s="356">
        <v>0.5</v>
      </c>
      <c r="M100" s="284">
        <f>0+0.5</f>
        <v>0.5</v>
      </c>
      <c r="N100" s="287">
        <f t="shared" si="13"/>
        <v>3.2710524938504217E-2</v>
      </c>
      <c r="O100" s="287">
        <f>0+0.5</f>
        <v>0.5</v>
      </c>
      <c r="P100" s="284">
        <v>0</v>
      </c>
      <c r="Q100" s="287">
        <f t="shared" si="14"/>
        <v>0</v>
      </c>
      <c r="R100" s="284">
        <f t="shared" si="15"/>
        <v>0</v>
      </c>
      <c r="S100" s="284">
        <v>0</v>
      </c>
      <c r="T100" s="287">
        <f t="shared" si="16"/>
        <v>0</v>
      </c>
      <c r="U100" s="287"/>
      <c r="V100" s="283"/>
      <c r="W100" s="287"/>
      <c r="X100" s="287"/>
      <c r="Y100" s="287"/>
      <c r="Z100" s="287"/>
      <c r="AA100" s="287"/>
      <c r="AB100" s="287"/>
      <c r="AC100" s="287"/>
      <c r="AD100" s="287"/>
      <c r="AE100" s="287"/>
      <c r="AF100" s="287"/>
      <c r="AG100" s="287"/>
      <c r="AH100" s="287"/>
      <c r="AI100" s="284"/>
      <c r="AJ100" s="284"/>
      <c r="AK100" s="360"/>
      <c r="AL100" s="305"/>
      <c r="AM100" s="305"/>
      <c r="AN100" s="305"/>
      <c r="AO100" s="305"/>
      <c r="AP100" s="305"/>
      <c r="AQ100" s="305"/>
      <c r="AR100" s="305"/>
      <c r="AS100" s="305"/>
      <c r="AT100" s="305"/>
      <c r="AU100" s="305"/>
    </row>
    <row r="101" spans="1:47" s="306" customFormat="1" ht="58.5">
      <c r="A101" s="304" t="s">
        <v>337</v>
      </c>
      <c r="B101" s="304" t="s">
        <v>711</v>
      </c>
      <c r="C101" s="341" t="s">
        <v>797</v>
      </c>
      <c r="D101" s="284"/>
      <c r="E101" s="284"/>
      <c r="F101" s="284"/>
      <c r="G101" s="284"/>
      <c r="H101" s="284"/>
      <c r="I101" s="284"/>
      <c r="J101" s="284">
        <v>0.5</v>
      </c>
      <c r="K101" s="287">
        <f t="shared" si="12"/>
        <v>3.2710524938504217E-2</v>
      </c>
      <c r="L101" s="356">
        <v>0.5</v>
      </c>
      <c r="M101" s="284">
        <f>0+0.5</f>
        <v>0.5</v>
      </c>
      <c r="N101" s="287">
        <f t="shared" si="13"/>
        <v>3.2710524938504217E-2</v>
      </c>
      <c r="O101" s="287">
        <f>0+0.5</f>
        <v>0.5</v>
      </c>
      <c r="P101" s="284">
        <v>0</v>
      </c>
      <c r="Q101" s="287">
        <f t="shared" si="14"/>
        <v>0</v>
      </c>
      <c r="R101" s="284">
        <f t="shared" si="15"/>
        <v>0</v>
      </c>
      <c r="S101" s="284">
        <v>0</v>
      </c>
      <c r="T101" s="287">
        <f t="shared" si="16"/>
        <v>0</v>
      </c>
      <c r="U101" s="287"/>
      <c r="V101" s="283"/>
      <c r="W101" s="287"/>
      <c r="X101" s="287"/>
      <c r="Y101" s="287"/>
      <c r="Z101" s="287"/>
      <c r="AA101" s="287"/>
      <c r="AB101" s="287"/>
      <c r="AC101" s="287"/>
      <c r="AD101" s="287"/>
      <c r="AE101" s="287"/>
      <c r="AF101" s="287"/>
      <c r="AG101" s="287"/>
      <c r="AH101" s="287"/>
      <c r="AI101" s="284"/>
      <c r="AJ101" s="284"/>
      <c r="AK101" s="360"/>
      <c r="AL101" s="305"/>
      <c r="AM101" s="305"/>
      <c r="AN101" s="305"/>
      <c r="AO101" s="305"/>
      <c r="AP101" s="305"/>
      <c r="AQ101" s="305"/>
      <c r="AR101" s="305"/>
      <c r="AS101" s="305"/>
      <c r="AT101" s="305"/>
      <c r="AU101" s="305"/>
    </row>
    <row r="102" spans="1:47" s="306" customFormat="1" ht="39">
      <c r="A102" s="304" t="s">
        <v>339</v>
      </c>
      <c r="B102" s="304" t="s">
        <v>712</v>
      </c>
      <c r="C102" s="341" t="s">
        <v>797</v>
      </c>
      <c r="D102" s="284"/>
      <c r="E102" s="284"/>
      <c r="F102" s="284"/>
      <c r="G102" s="284"/>
      <c r="H102" s="284"/>
      <c r="I102" s="284"/>
      <c r="J102" s="284">
        <v>0.5</v>
      </c>
      <c r="K102" s="287">
        <f t="shared" si="12"/>
        <v>0.25187104202648247</v>
      </c>
      <c r="L102" s="356">
        <v>3.85</v>
      </c>
      <c r="M102" s="284">
        <f>0+0.2</f>
        <v>0.2</v>
      </c>
      <c r="N102" s="287">
        <f t="shared" si="13"/>
        <v>0.25187104202648247</v>
      </c>
      <c r="O102" s="287">
        <f>0+3.85</f>
        <v>3.85</v>
      </c>
      <c r="P102" s="284">
        <v>0</v>
      </c>
      <c r="Q102" s="287">
        <f t="shared" si="14"/>
        <v>0</v>
      </c>
      <c r="R102" s="284">
        <f t="shared" si="15"/>
        <v>0</v>
      </c>
      <c r="S102" s="284">
        <v>0</v>
      </c>
      <c r="T102" s="287">
        <f t="shared" si="16"/>
        <v>0</v>
      </c>
      <c r="U102" s="287"/>
      <c r="V102" s="283"/>
      <c r="W102" s="287"/>
      <c r="X102" s="287"/>
      <c r="Y102" s="287"/>
      <c r="Z102" s="287"/>
      <c r="AA102" s="287"/>
      <c r="AB102" s="287"/>
      <c r="AC102" s="287"/>
      <c r="AD102" s="287"/>
      <c r="AE102" s="287"/>
      <c r="AF102" s="287"/>
      <c r="AG102" s="287"/>
      <c r="AH102" s="287"/>
      <c r="AI102" s="284"/>
      <c r="AJ102" s="284"/>
      <c r="AK102" s="360"/>
      <c r="AL102" s="305"/>
      <c r="AM102" s="305"/>
      <c r="AN102" s="305"/>
      <c r="AO102" s="305"/>
      <c r="AP102" s="305"/>
      <c r="AQ102" s="305"/>
      <c r="AR102" s="305"/>
      <c r="AS102" s="305"/>
      <c r="AT102" s="305"/>
      <c r="AU102" s="305"/>
    </row>
    <row r="103" spans="1:47" s="306" customFormat="1" ht="39">
      <c r="A103" s="304" t="s">
        <v>715</v>
      </c>
      <c r="B103" s="304" t="s">
        <v>713</v>
      </c>
      <c r="C103" s="341" t="s">
        <v>797</v>
      </c>
      <c r="D103" s="284"/>
      <c r="E103" s="284"/>
      <c r="F103" s="284"/>
      <c r="G103" s="284"/>
      <c r="H103" s="284"/>
      <c r="I103" s="284"/>
      <c r="J103" s="284">
        <v>1</v>
      </c>
      <c r="K103" s="287">
        <f t="shared" si="12"/>
        <v>0.32710524938504215</v>
      </c>
      <c r="L103" s="356">
        <v>5</v>
      </c>
      <c r="M103" s="284">
        <f>0.2+0.4</f>
        <v>0.60000000000000009</v>
      </c>
      <c r="N103" s="287">
        <f t="shared" si="13"/>
        <v>0.19626314963102526</v>
      </c>
      <c r="O103" s="287">
        <f>1+2</f>
        <v>3</v>
      </c>
      <c r="P103" s="284">
        <v>0</v>
      </c>
      <c r="Q103" s="287">
        <f t="shared" si="14"/>
        <v>0</v>
      </c>
      <c r="R103" s="284">
        <f t="shared" si="15"/>
        <v>0</v>
      </c>
      <c r="S103" s="284">
        <v>0</v>
      </c>
      <c r="T103" s="287">
        <f t="shared" si="16"/>
        <v>0</v>
      </c>
      <c r="U103" s="287"/>
      <c r="V103" s="283"/>
      <c r="W103" s="287"/>
      <c r="X103" s="287"/>
      <c r="Y103" s="287"/>
      <c r="Z103" s="287"/>
      <c r="AA103" s="287"/>
      <c r="AB103" s="287"/>
      <c r="AC103" s="287"/>
      <c r="AD103" s="287"/>
      <c r="AE103" s="287"/>
      <c r="AF103" s="287"/>
      <c r="AG103" s="287"/>
      <c r="AH103" s="287"/>
      <c r="AI103" s="284"/>
      <c r="AJ103" s="284"/>
      <c r="AK103" s="360"/>
      <c r="AL103" s="305"/>
      <c r="AM103" s="305"/>
      <c r="AN103" s="305"/>
      <c r="AO103" s="305"/>
      <c r="AP103" s="305"/>
      <c r="AQ103" s="305"/>
      <c r="AR103" s="305"/>
      <c r="AS103" s="305"/>
      <c r="AT103" s="305"/>
      <c r="AU103" s="305"/>
    </row>
    <row r="104" spans="1:47" s="306" customFormat="1" ht="39">
      <c r="A104" s="304" t="s">
        <v>343</v>
      </c>
      <c r="B104" s="304" t="s">
        <v>714</v>
      </c>
      <c r="C104" s="341" t="s">
        <v>797</v>
      </c>
      <c r="D104" s="284"/>
      <c r="E104" s="284"/>
      <c r="F104" s="284"/>
      <c r="G104" s="284"/>
      <c r="H104" s="284"/>
      <c r="I104" s="284"/>
      <c r="J104" s="284">
        <v>1</v>
      </c>
      <c r="K104" s="287">
        <f t="shared" si="12"/>
        <v>6.5421049877008433E-2</v>
      </c>
      <c r="L104" s="356">
        <v>1</v>
      </c>
      <c r="M104" s="284">
        <f>0+1</f>
        <v>1</v>
      </c>
      <c r="N104" s="287">
        <f t="shared" si="13"/>
        <v>6.5421049877008433E-2</v>
      </c>
      <c r="O104" s="287">
        <f>0+1</f>
        <v>1</v>
      </c>
      <c r="P104" s="284">
        <v>0</v>
      </c>
      <c r="Q104" s="287">
        <f t="shared" si="14"/>
        <v>0</v>
      </c>
      <c r="R104" s="284">
        <f t="shared" si="15"/>
        <v>0</v>
      </c>
      <c r="S104" s="284">
        <v>0</v>
      </c>
      <c r="T104" s="287">
        <f t="shared" si="16"/>
        <v>0</v>
      </c>
      <c r="U104" s="287"/>
      <c r="V104" s="283"/>
      <c r="W104" s="287"/>
      <c r="X104" s="287"/>
      <c r="Y104" s="287"/>
      <c r="Z104" s="287"/>
      <c r="AA104" s="287"/>
      <c r="AB104" s="287"/>
      <c r="AC104" s="287"/>
      <c r="AD104" s="287"/>
      <c r="AE104" s="287"/>
      <c r="AF104" s="287"/>
      <c r="AG104" s="287"/>
      <c r="AH104" s="287"/>
      <c r="AI104" s="284"/>
      <c r="AJ104" s="284"/>
      <c r="AK104" s="360"/>
      <c r="AL104" s="305"/>
      <c r="AM104" s="305"/>
      <c r="AN104" s="305"/>
      <c r="AO104" s="305"/>
      <c r="AP104" s="305"/>
      <c r="AQ104" s="305"/>
      <c r="AR104" s="305"/>
      <c r="AS104" s="305"/>
      <c r="AT104" s="305"/>
      <c r="AU104" s="305"/>
    </row>
    <row r="105" spans="1:47" s="306" customFormat="1" ht="58.5">
      <c r="A105" s="304" t="s">
        <v>716</v>
      </c>
      <c r="B105" s="304" t="s">
        <v>717</v>
      </c>
      <c r="C105" s="341" t="s">
        <v>797</v>
      </c>
      <c r="D105" s="284"/>
      <c r="E105" s="284"/>
      <c r="F105" s="284"/>
      <c r="G105" s="284"/>
      <c r="H105" s="284"/>
      <c r="I105" s="284"/>
      <c r="J105" s="284">
        <v>1</v>
      </c>
      <c r="K105" s="287">
        <f t="shared" si="12"/>
        <v>0.32710524938504215</v>
      </c>
      <c r="L105" s="356">
        <v>5</v>
      </c>
      <c r="M105" s="284">
        <f>0.2+0.4</f>
        <v>0.60000000000000009</v>
      </c>
      <c r="N105" s="287">
        <f t="shared" si="13"/>
        <v>0.19626314963102526</v>
      </c>
      <c r="O105" s="287">
        <f>1+2</f>
        <v>3</v>
      </c>
      <c r="P105" s="284">
        <v>0</v>
      </c>
      <c r="Q105" s="287">
        <f t="shared" si="14"/>
        <v>0</v>
      </c>
      <c r="R105" s="284">
        <f t="shared" si="15"/>
        <v>0</v>
      </c>
      <c r="S105" s="284">
        <v>0</v>
      </c>
      <c r="T105" s="287">
        <f t="shared" si="16"/>
        <v>0</v>
      </c>
      <c r="U105" s="287"/>
      <c r="V105" s="283"/>
      <c r="W105" s="287"/>
      <c r="X105" s="287"/>
      <c r="Y105" s="287"/>
      <c r="Z105" s="287"/>
      <c r="AA105" s="287"/>
      <c r="AB105" s="287"/>
      <c r="AC105" s="287"/>
      <c r="AD105" s="287"/>
      <c r="AE105" s="287"/>
      <c r="AF105" s="287"/>
      <c r="AG105" s="287"/>
      <c r="AH105" s="287"/>
      <c r="AI105" s="284"/>
      <c r="AJ105" s="284"/>
      <c r="AK105" s="360"/>
      <c r="AL105" s="305"/>
      <c r="AM105" s="305"/>
      <c r="AN105" s="305"/>
      <c r="AO105" s="305"/>
      <c r="AP105" s="305"/>
      <c r="AQ105" s="305"/>
      <c r="AR105" s="305"/>
      <c r="AS105" s="305"/>
      <c r="AT105" s="305"/>
      <c r="AU105" s="305"/>
    </row>
    <row r="106" spans="1:47" s="306" customFormat="1" ht="78">
      <c r="A106" s="304" t="s">
        <v>718</v>
      </c>
      <c r="B106" s="304" t="s">
        <v>719</v>
      </c>
      <c r="C106" s="341" t="s">
        <v>797</v>
      </c>
      <c r="D106" s="284"/>
      <c r="E106" s="284"/>
      <c r="F106" s="284"/>
      <c r="G106" s="284"/>
      <c r="H106" s="284"/>
      <c r="I106" s="284"/>
      <c r="J106" s="284">
        <v>1</v>
      </c>
      <c r="K106" s="287">
        <f t="shared" si="12"/>
        <v>0.32710524938504215</v>
      </c>
      <c r="L106" s="356">
        <v>5</v>
      </c>
      <c r="M106" s="284">
        <f>0.2+0.4</f>
        <v>0.60000000000000009</v>
      </c>
      <c r="N106" s="287">
        <f t="shared" si="13"/>
        <v>0.19626314963102526</v>
      </c>
      <c r="O106" s="287">
        <f>1+2</f>
        <v>3</v>
      </c>
      <c r="P106" s="284">
        <v>0</v>
      </c>
      <c r="Q106" s="287">
        <f t="shared" si="14"/>
        <v>0</v>
      </c>
      <c r="R106" s="284">
        <f t="shared" si="15"/>
        <v>0</v>
      </c>
      <c r="S106" s="284">
        <v>0</v>
      </c>
      <c r="T106" s="287">
        <f t="shared" si="16"/>
        <v>0</v>
      </c>
      <c r="U106" s="287"/>
      <c r="V106" s="283"/>
      <c r="W106" s="287"/>
      <c r="X106" s="287"/>
      <c r="Y106" s="287"/>
      <c r="Z106" s="287"/>
      <c r="AA106" s="287"/>
      <c r="AB106" s="287"/>
      <c r="AC106" s="287"/>
      <c r="AD106" s="287"/>
      <c r="AE106" s="287"/>
      <c r="AF106" s="287"/>
      <c r="AG106" s="287"/>
      <c r="AH106" s="287"/>
      <c r="AI106" s="284"/>
      <c r="AJ106" s="284"/>
      <c r="AK106" s="360"/>
      <c r="AL106" s="305"/>
      <c r="AM106" s="305"/>
      <c r="AN106" s="305"/>
      <c r="AO106" s="305"/>
      <c r="AP106" s="305"/>
      <c r="AQ106" s="305"/>
      <c r="AR106" s="305"/>
      <c r="AS106" s="305"/>
      <c r="AT106" s="305"/>
      <c r="AU106" s="305"/>
    </row>
    <row r="107" spans="1:47" s="306" customFormat="1" ht="39">
      <c r="A107" s="304" t="s">
        <v>345</v>
      </c>
      <c r="B107" s="304" t="s">
        <v>720</v>
      </c>
      <c r="C107" s="341" t="s">
        <v>797</v>
      </c>
      <c r="D107" s="284"/>
      <c r="E107" s="284"/>
      <c r="F107" s="284"/>
      <c r="G107" s="284"/>
      <c r="H107" s="284"/>
      <c r="I107" s="284"/>
      <c r="J107" s="284">
        <v>0.1</v>
      </c>
      <c r="K107" s="287">
        <f t="shared" si="12"/>
        <v>6.542104987700843E-3</v>
      </c>
      <c r="L107" s="356">
        <v>0.1</v>
      </c>
      <c r="M107" s="284">
        <f>0+0.1</f>
        <v>0.1</v>
      </c>
      <c r="N107" s="287">
        <f t="shared" si="13"/>
        <v>6.542104987700843E-3</v>
      </c>
      <c r="O107" s="287">
        <f>0+0.1</f>
        <v>0.1</v>
      </c>
      <c r="P107" s="284">
        <v>0</v>
      </c>
      <c r="Q107" s="287">
        <f t="shared" si="14"/>
        <v>0</v>
      </c>
      <c r="R107" s="284">
        <f t="shared" si="15"/>
        <v>0</v>
      </c>
      <c r="S107" s="284">
        <v>0</v>
      </c>
      <c r="T107" s="287">
        <f t="shared" si="16"/>
        <v>0</v>
      </c>
      <c r="U107" s="287"/>
      <c r="V107" s="283"/>
      <c r="W107" s="287"/>
      <c r="X107" s="287"/>
      <c r="Y107" s="287"/>
      <c r="Z107" s="287"/>
      <c r="AA107" s="287"/>
      <c r="AB107" s="287"/>
      <c r="AC107" s="287"/>
      <c r="AD107" s="287"/>
      <c r="AE107" s="287"/>
      <c r="AF107" s="287"/>
      <c r="AG107" s="287"/>
      <c r="AH107" s="287"/>
      <c r="AI107" s="284"/>
      <c r="AJ107" s="284"/>
      <c r="AK107" s="360"/>
      <c r="AL107" s="305"/>
      <c r="AM107" s="305"/>
      <c r="AN107" s="305"/>
      <c r="AO107" s="305"/>
      <c r="AP107" s="305"/>
      <c r="AQ107" s="305"/>
      <c r="AR107" s="305"/>
      <c r="AS107" s="305"/>
      <c r="AT107" s="305"/>
      <c r="AU107" s="305"/>
    </row>
    <row r="108" spans="1:47" s="306" customFormat="1" ht="39">
      <c r="A108" s="304" t="s">
        <v>347</v>
      </c>
      <c r="B108" s="304" t="s">
        <v>721</v>
      </c>
      <c r="C108" s="341" t="s">
        <v>797</v>
      </c>
      <c r="D108" s="284"/>
      <c r="E108" s="284"/>
      <c r="F108" s="284"/>
      <c r="G108" s="284"/>
      <c r="H108" s="284"/>
      <c r="I108" s="284"/>
      <c r="J108" s="284">
        <v>1</v>
      </c>
      <c r="K108" s="287">
        <f t="shared" si="12"/>
        <v>6.5421049877008433E-2</v>
      </c>
      <c r="L108" s="356">
        <v>1</v>
      </c>
      <c r="M108" s="284">
        <f>0+1</f>
        <v>1</v>
      </c>
      <c r="N108" s="287">
        <f t="shared" si="13"/>
        <v>6.5421049877008433E-2</v>
      </c>
      <c r="O108" s="287">
        <f>0+1</f>
        <v>1</v>
      </c>
      <c r="P108" s="284">
        <v>0</v>
      </c>
      <c r="Q108" s="287">
        <f t="shared" si="14"/>
        <v>0</v>
      </c>
      <c r="R108" s="284">
        <f t="shared" si="15"/>
        <v>0</v>
      </c>
      <c r="S108" s="284">
        <v>0</v>
      </c>
      <c r="T108" s="287">
        <f t="shared" si="16"/>
        <v>0</v>
      </c>
      <c r="U108" s="287"/>
      <c r="V108" s="283"/>
      <c r="W108" s="287"/>
      <c r="X108" s="287"/>
      <c r="Y108" s="287"/>
      <c r="Z108" s="287"/>
      <c r="AA108" s="287"/>
      <c r="AB108" s="287"/>
      <c r="AC108" s="287"/>
      <c r="AD108" s="287"/>
      <c r="AE108" s="287"/>
      <c r="AF108" s="287"/>
      <c r="AG108" s="287"/>
      <c r="AH108" s="287"/>
      <c r="AI108" s="284"/>
      <c r="AJ108" s="284"/>
      <c r="AK108" s="360"/>
      <c r="AL108" s="305"/>
      <c r="AM108" s="305"/>
      <c r="AN108" s="305"/>
      <c r="AO108" s="305"/>
      <c r="AP108" s="305"/>
      <c r="AQ108" s="305"/>
      <c r="AR108" s="305"/>
      <c r="AS108" s="305"/>
      <c r="AT108" s="305"/>
      <c r="AU108" s="305"/>
    </row>
    <row r="109" spans="1:47" s="306" customFormat="1" ht="58.5">
      <c r="A109" s="304" t="s">
        <v>349</v>
      </c>
      <c r="B109" s="304" t="s">
        <v>722</v>
      </c>
      <c r="C109" s="341" t="s">
        <v>797</v>
      </c>
      <c r="D109" s="284"/>
      <c r="E109" s="284"/>
      <c r="F109" s="284"/>
      <c r="G109" s="284"/>
      <c r="H109" s="284"/>
      <c r="I109" s="284"/>
      <c r="J109" s="284">
        <v>1</v>
      </c>
      <c r="K109" s="287">
        <f t="shared" si="12"/>
        <v>6.5421049877008433E-2</v>
      </c>
      <c r="L109" s="356">
        <v>1</v>
      </c>
      <c r="M109" s="284">
        <f>0+1</f>
        <v>1</v>
      </c>
      <c r="N109" s="287">
        <f t="shared" si="13"/>
        <v>6.5421049877008433E-2</v>
      </c>
      <c r="O109" s="287">
        <f>0+1</f>
        <v>1</v>
      </c>
      <c r="P109" s="284">
        <v>0</v>
      </c>
      <c r="Q109" s="287">
        <f t="shared" si="14"/>
        <v>0</v>
      </c>
      <c r="R109" s="284">
        <f t="shared" si="15"/>
        <v>0</v>
      </c>
      <c r="S109" s="284">
        <v>0</v>
      </c>
      <c r="T109" s="287">
        <f t="shared" si="16"/>
        <v>0</v>
      </c>
      <c r="U109" s="287"/>
      <c r="V109" s="283"/>
      <c r="W109" s="287"/>
      <c r="X109" s="287"/>
      <c r="Y109" s="287"/>
      <c r="Z109" s="287"/>
      <c r="AA109" s="287"/>
      <c r="AB109" s="287"/>
      <c r="AC109" s="287"/>
      <c r="AD109" s="287"/>
      <c r="AE109" s="287"/>
      <c r="AF109" s="287"/>
      <c r="AG109" s="287"/>
      <c r="AH109" s="287"/>
      <c r="AI109" s="284"/>
      <c r="AJ109" s="284"/>
      <c r="AK109" s="360"/>
      <c r="AL109" s="305"/>
      <c r="AM109" s="305"/>
      <c r="AN109" s="305"/>
      <c r="AO109" s="305"/>
      <c r="AP109" s="305"/>
      <c r="AQ109" s="305"/>
      <c r="AR109" s="305"/>
      <c r="AS109" s="305"/>
      <c r="AT109" s="305"/>
      <c r="AU109" s="305"/>
    </row>
    <row r="110" spans="1:47" s="306" customFormat="1" ht="58.5">
      <c r="A110" s="304" t="s">
        <v>351</v>
      </c>
      <c r="B110" s="304" t="s">
        <v>723</v>
      </c>
      <c r="C110" s="341" t="s">
        <v>797</v>
      </c>
      <c r="D110" s="284"/>
      <c r="E110" s="284"/>
      <c r="F110" s="284"/>
      <c r="G110" s="284"/>
      <c r="H110" s="284"/>
      <c r="I110" s="284"/>
      <c r="J110" s="284">
        <v>5.55</v>
      </c>
      <c r="K110" s="287">
        <f t="shared" si="12"/>
        <v>0.36308682681739674</v>
      </c>
      <c r="L110" s="356">
        <v>5.55</v>
      </c>
      <c r="M110" s="284">
        <f>0+5.55</f>
        <v>5.55</v>
      </c>
      <c r="N110" s="287">
        <f t="shared" si="13"/>
        <v>0.36308682681739674</v>
      </c>
      <c r="O110" s="287">
        <f>0+5.55</f>
        <v>5.55</v>
      </c>
      <c r="P110" s="284">
        <v>0</v>
      </c>
      <c r="Q110" s="287">
        <f t="shared" si="14"/>
        <v>0</v>
      </c>
      <c r="R110" s="284">
        <f t="shared" si="15"/>
        <v>0</v>
      </c>
      <c r="S110" s="284">
        <v>0</v>
      </c>
      <c r="T110" s="287">
        <f t="shared" si="16"/>
        <v>0</v>
      </c>
      <c r="U110" s="287"/>
      <c r="V110" s="283"/>
      <c r="W110" s="287"/>
      <c r="X110" s="287"/>
      <c r="Y110" s="287"/>
      <c r="Z110" s="287"/>
      <c r="AA110" s="287"/>
      <c r="AB110" s="287"/>
      <c r="AC110" s="287"/>
      <c r="AD110" s="287"/>
      <c r="AE110" s="287"/>
      <c r="AF110" s="287"/>
      <c r="AG110" s="287"/>
      <c r="AH110" s="287"/>
      <c r="AI110" s="284"/>
      <c r="AJ110" s="284"/>
      <c r="AK110" s="360"/>
      <c r="AL110" s="305"/>
      <c r="AM110" s="305"/>
      <c r="AN110" s="305"/>
      <c r="AO110" s="305"/>
      <c r="AP110" s="305"/>
      <c r="AQ110" s="305"/>
      <c r="AR110" s="305"/>
      <c r="AS110" s="305"/>
      <c r="AT110" s="305"/>
      <c r="AU110" s="305"/>
    </row>
    <row r="111" spans="1:47" s="306" customFormat="1" ht="58.5">
      <c r="A111" s="304" t="s">
        <v>353</v>
      </c>
      <c r="B111" s="304" t="s">
        <v>724</v>
      </c>
      <c r="C111" s="341" t="s">
        <v>797</v>
      </c>
      <c r="D111" s="284"/>
      <c r="E111" s="284"/>
      <c r="F111" s="284"/>
      <c r="G111" s="284"/>
      <c r="H111" s="284"/>
      <c r="I111" s="284"/>
      <c r="J111" s="284">
        <v>1</v>
      </c>
      <c r="K111" s="287">
        <f t="shared" si="12"/>
        <v>6.5421049877008433E-2</v>
      </c>
      <c r="L111" s="356">
        <v>1</v>
      </c>
      <c r="M111" s="284">
        <f>0+1</f>
        <v>1</v>
      </c>
      <c r="N111" s="287">
        <f t="shared" si="13"/>
        <v>6.5421049877008433E-2</v>
      </c>
      <c r="O111" s="287">
        <f>0+1</f>
        <v>1</v>
      </c>
      <c r="P111" s="284">
        <v>0</v>
      </c>
      <c r="Q111" s="287">
        <f t="shared" si="14"/>
        <v>0</v>
      </c>
      <c r="R111" s="284">
        <f t="shared" si="15"/>
        <v>0</v>
      </c>
      <c r="S111" s="284">
        <v>0</v>
      </c>
      <c r="T111" s="287">
        <f t="shared" si="16"/>
        <v>0</v>
      </c>
      <c r="U111" s="287"/>
      <c r="V111" s="283"/>
      <c r="W111" s="287"/>
      <c r="X111" s="287"/>
      <c r="Y111" s="287"/>
      <c r="Z111" s="287"/>
      <c r="AA111" s="287"/>
      <c r="AB111" s="287"/>
      <c r="AC111" s="287"/>
      <c r="AD111" s="287"/>
      <c r="AE111" s="287"/>
      <c r="AF111" s="287"/>
      <c r="AG111" s="287"/>
      <c r="AH111" s="287"/>
      <c r="AI111" s="284"/>
      <c r="AJ111" s="284"/>
      <c r="AK111" s="360"/>
      <c r="AL111" s="305"/>
      <c r="AM111" s="305"/>
      <c r="AN111" s="305"/>
      <c r="AO111" s="305"/>
      <c r="AP111" s="305"/>
      <c r="AQ111" s="305"/>
      <c r="AR111" s="305"/>
      <c r="AS111" s="305"/>
      <c r="AT111" s="305"/>
      <c r="AU111" s="305"/>
    </row>
    <row r="112" spans="1:47" s="306" customFormat="1" ht="58.5">
      <c r="A112" s="304" t="s">
        <v>355</v>
      </c>
      <c r="B112" s="304" t="s">
        <v>725</v>
      </c>
      <c r="C112" s="341" t="s">
        <v>797</v>
      </c>
      <c r="D112" s="284"/>
      <c r="E112" s="284"/>
      <c r="F112" s="284"/>
      <c r="G112" s="284"/>
      <c r="H112" s="284"/>
      <c r="I112" s="284"/>
      <c r="J112" s="284">
        <v>1</v>
      </c>
      <c r="K112" s="287">
        <f t="shared" si="12"/>
        <v>6.5421049877008433E-2</v>
      </c>
      <c r="L112" s="356">
        <v>1</v>
      </c>
      <c r="M112" s="284">
        <f>0+1</f>
        <v>1</v>
      </c>
      <c r="N112" s="287">
        <f t="shared" si="13"/>
        <v>6.5421049877008433E-2</v>
      </c>
      <c r="O112" s="287">
        <f>0+1</f>
        <v>1</v>
      </c>
      <c r="P112" s="284">
        <v>0</v>
      </c>
      <c r="Q112" s="287">
        <f t="shared" si="14"/>
        <v>0</v>
      </c>
      <c r="R112" s="284">
        <f t="shared" si="15"/>
        <v>0</v>
      </c>
      <c r="S112" s="284">
        <v>0</v>
      </c>
      <c r="T112" s="287">
        <f t="shared" si="16"/>
        <v>0</v>
      </c>
      <c r="U112" s="287"/>
      <c r="V112" s="283"/>
      <c r="W112" s="287"/>
      <c r="X112" s="287"/>
      <c r="Y112" s="287"/>
      <c r="Z112" s="287"/>
      <c r="AA112" s="287"/>
      <c r="AB112" s="287"/>
      <c r="AC112" s="287"/>
      <c r="AD112" s="287"/>
      <c r="AE112" s="287"/>
      <c r="AF112" s="287"/>
      <c r="AG112" s="287"/>
      <c r="AH112" s="287"/>
      <c r="AI112" s="284"/>
      <c r="AJ112" s="284"/>
      <c r="AK112" s="360"/>
      <c r="AL112" s="305"/>
      <c r="AM112" s="305"/>
      <c r="AN112" s="305"/>
      <c r="AO112" s="305"/>
      <c r="AP112" s="305"/>
      <c r="AQ112" s="305"/>
      <c r="AR112" s="305"/>
      <c r="AS112" s="305"/>
      <c r="AT112" s="305"/>
      <c r="AU112" s="305"/>
    </row>
    <row r="113" spans="1:47" s="306" customFormat="1" ht="58.5">
      <c r="A113" s="304" t="s">
        <v>357</v>
      </c>
      <c r="B113" s="304" t="s">
        <v>726</v>
      </c>
      <c r="C113" s="341" t="s">
        <v>797</v>
      </c>
      <c r="D113" s="284"/>
      <c r="E113" s="284"/>
      <c r="F113" s="284"/>
      <c r="G113" s="284"/>
      <c r="H113" s="284"/>
      <c r="I113" s="284"/>
      <c r="J113" s="284">
        <v>1</v>
      </c>
      <c r="K113" s="287">
        <f t="shared" si="12"/>
        <v>6.5421049877008433E-2</v>
      </c>
      <c r="L113" s="356">
        <v>1</v>
      </c>
      <c r="M113" s="284">
        <f>0+1</f>
        <v>1</v>
      </c>
      <c r="N113" s="287">
        <f t="shared" si="13"/>
        <v>6.5421049877008433E-2</v>
      </c>
      <c r="O113" s="287">
        <f>0+1</f>
        <v>1</v>
      </c>
      <c r="P113" s="284">
        <v>0</v>
      </c>
      <c r="Q113" s="287">
        <f t="shared" si="14"/>
        <v>0</v>
      </c>
      <c r="R113" s="284">
        <f t="shared" si="15"/>
        <v>0</v>
      </c>
      <c r="S113" s="284">
        <v>0</v>
      </c>
      <c r="T113" s="287">
        <f t="shared" si="16"/>
        <v>0</v>
      </c>
      <c r="U113" s="287"/>
      <c r="V113" s="283"/>
      <c r="W113" s="287"/>
      <c r="X113" s="287"/>
      <c r="Y113" s="287"/>
      <c r="Z113" s="287"/>
      <c r="AA113" s="287"/>
      <c r="AB113" s="287"/>
      <c r="AC113" s="287"/>
      <c r="AD113" s="287"/>
      <c r="AE113" s="287"/>
      <c r="AF113" s="287"/>
      <c r="AG113" s="287"/>
      <c r="AH113" s="287"/>
      <c r="AI113" s="284"/>
      <c r="AJ113" s="284"/>
      <c r="AK113" s="360"/>
      <c r="AL113" s="305"/>
      <c r="AM113" s="305"/>
      <c r="AN113" s="305"/>
      <c r="AO113" s="305"/>
      <c r="AP113" s="305"/>
      <c r="AQ113" s="305"/>
      <c r="AR113" s="305"/>
      <c r="AS113" s="305"/>
      <c r="AT113" s="305"/>
      <c r="AU113" s="305"/>
    </row>
    <row r="114" spans="1:47" s="306" customFormat="1" ht="39">
      <c r="A114" s="304" t="s">
        <v>359</v>
      </c>
      <c r="B114" s="304" t="s">
        <v>727</v>
      </c>
      <c r="C114" s="341" t="s">
        <v>797</v>
      </c>
      <c r="D114" s="284"/>
      <c r="E114" s="284"/>
      <c r="F114" s="284"/>
      <c r="G114" s="284"/>
      <c r="H114" s="284"/>
      <c r="I114" s="284"/>
      <c r="J114" s="284">
        <v>5</v>
      </c>
      <c r="K114" s="287">
        <f t="shared" si="12"/>
        <v>0.32710524938504215</v>
      </c>
      <c r="L114" s="356">
        <v>5</v>
      </c>
      <c r="M114" s="284">
        <f>0+5</f>
        <v>5</v>
      </c>
      <c r="N114" s="287">
        <f t="shared" si="13"/>
        <v>0.32710524938504215</v>
      </c>
      <c r="O114" s="287">
        <f>0+5</f>
        <v>5</v>
      </c>
      <c r="P114" s="284">
        <v>5</v>
      </c>
      <c r="Q114" s="287">
        <f t="shared" si="14"/>
        <v>0.32710524938504215</v>
      </c>
      <c r="R114" s="284">
        <f t="shared" si="15"/>
        <v>100</v>
      </c>
      <c r="S114" s="284">
        <v>4.13</v>
      </c>
      <c r="T114" s="287">
        <f t="shared" si="16"/>
        <v>82.6</v>
      </c>
      <c r="U114" s="287"/>
      <c r="V114" s="283"/>
      <c r="W114" s="287"/>
      <c r="X114" s="287"/>
      <c r="Y114" s="287"/>
      <c r="Z114" s="287"/>
      <c r="AA114" s="287"/>
      <c r="AB114" s="287"/>
      <c r="AC114" s="287"/>
      <c r="AD114" s="287"/>
      <c r="AE114" s="287"/>
      <c r="AF114" s="287"/>
      <c r="AG114" s="287"/>
      <c r="AH114" s="287"/>
      <c r="AI114" s="284"/>
      <c r="AJ114" s="284"/>
      <c r="AK114" s="360"/>
      <c r="AL114" s="305"/>
      <c r="AM114" s="305"/>
      <c r="AN114" s="305"/>
      <c r="AO114" s="305"/>
      <c r="AP114" s="305"/>
      <c r="AQ114" s="305"/>
      <c r="AR114" s="305"/>
      <c r="AS114" s="305"/>
      <c r="AT114" s="305"/>
      <c r="AU114" s="305"/>
    </row>
    <row r="115" spans="1:47" s="306" customFormat="1" ht="31.15" customHeight="1">
      <c r="A115" s="304" t="s">
        <v>361</v>
      </c>
      <c r="B115" s="304" t="s">
        <v>728</v>
      </c>
      <c r="C115" s="341" t="s">
        <v>797</v>
      </c>
      <c r="D115" s="284"/>
      <c r="E115" s="284"/>
      <c r="F115" s="284"/>
      <c r="G115" s="284"/>
      <c r="H115" s="284"/>
      <c r="I115" s="284"/>
      <c r="J115" s="284">
        <v>0.5</v>
      </c>
      <c r="K115" s="287">
        <f t="shared" si="12"/>
        <v>0.22897367456952952</v>
      </c>
      <c r="L115" s="356">
        <v>3.5</v>
      </c>
      <c r="M115" s="284">
        <f>0+0.5</f>
        <v>0.5</v>
      </c>
      <c r="N115" s="287">
        <f t="shared" si="13"/>
        <v>0.22897367456952952</v>
      </c>
      <c r="O115" s="287">
        <f>0+3.5</f>
        <v>3.5</v>
      </c>
      <c r="P115" s="284">
        <v>0</v>
      </c>
      <c r="Q115" s="287">
        <f t="shared" si="14"/>
        <v>0</v>
      </c>
      <c r="R115" s="284">
        <f t="shared" si="15"/>
        <v>0</v>
      </c>
      <c r="S115" s="284">
        <v>0</v>
      </c>
      <c r="T115" s="287">
        <f t="shared" si="16"/>
        <v>0</v>
      </c>
      <c r="U115" s="287"/>
      <c r="V115" s="283"/>
      <c r="W115" s="287"/>
      <c r="X115" s="287"/>
      <c r="Y115" s="287"/>
      <c r="Z115" s="287"/>
      <c r="AA115" s="287"/>
      <c r="AB115" s="287"/>
      <c r="AC115" s="287"/>
      <c r="AD115" s="287"/>
      <c r="AE115" s="287"/>
      <c r="AF115" s="287"/>
      <c r="AG115" s="287"/>
      <c r="AH115" s="287"/>
      <c r="AI115" s="284"/>
      <c r="AJ115" s="284"/>
      <c r="AK115" s="360"/>
      <c r="AL115" s="305"/>
      <c r="AM115" s="305"/>
      <c r="AN115" s="305"/>
      <c r="AO115" s="305"/>
      <c r="AP115" s="305"/>
      <c r="AQ115" s="305"/>
      <c r="AR115" s="305"/>
      <c r="AS115" s="305"/>
      <c r="AT115" s="305"/>
      <c r="AU115" s="305"/>
    </row>
    <row r="116" spans="1:47" s="306" customFormat="1" ht="39">
      <c r="A116" s="304" t="s">
        <v>363</v>
      </c>
      <c r="B116" s="304" t="s">
        <v>729</v>
      </c>
      <c r="C116" s="341" t="s">
        <v>797</v>
      </c>
      <c r="D116" s="284"/>
      <c r="E116" s="284"/>
      <c r="F116" s="284"/>
      <c r="G116" s="284"/>
      <c r="H116" s="284"/>
      <c r="I116" s="284"/>
      <c r="J116" s="284">
        <v>5</v>
      </c>
      <c r="K116" s="287">
        <f t="shared" si="12"/>
        <v>0.32710524938504215</v>
      </c>
      <c r="L116" s="356">
        <v>5</v>
      </c>
      <c r="M116" s="284">
        <f>0+5</f>
        <v>5</v>
      </c>
      <c r="N116" s="287">
        <f t="shared" si="13"/>
        <v>0.32710524938504215</v>
      </c>
      <c r="O116" s="287">
        <f>0+5</f>
        <v>5</v>
      </c>
      <c r="P116" s="284">
        <v>5</v>
      </c>
      <c r="Q116" s="287">
        <f t="shared" si="14"/>
        <v>0.32710524938504215</v>
      </c>
      <c r="R116" s="284">
        <f t="shared" si="15"/>
        <v>100</v>
      </c>
      <c r="S116" s="284">
        <v>4.78</v>
      </c>
      <c r="T116" s="287">
        <f t="shared" si="16"/>
        <v>95.600000000000009</v>
      </c>
      <c r="U116" s="287"/>
      <c r="V116" s="283"/>
      <c r="W116" s="287"/>
      <c r="X116" s="287"/>
      <c r="Y116" s="287"/>
      <c r="Z116" s="287"/>
      <c r="AA116" s="287"/>
      <c r="AB116" s="287"/>
      <c r="AC116" s="287"/>
      <c r="AD116" s="287"/>
      <c r="AE116" s="287"/>
      <c r="AF116" s="287"/>
      <c r="AG116" s="287"/>
      <c r="AH116" s="287"/>
      <c r="AI116" s="284"/>
      <c r="AJ116" s="284"/>
      <c r="AK116" s="360"/>
      <c r="AL116" s="305"/>
      <c r="AM116" s="305"/>
      <c r="AN116" s="305"/>
      <c r="AO116" s="305"/>
      <c r="AP116" s="305"/>
      <c r="AQ116" s="305"/>
      <c r="AR116" s="305"/>
      <c r="AS116" s="305"/>
      <c r="AT116" s="305"/>
      <c r="AU116" s="305"/>
    </row>
    <row r="117" spans="1:47" s="306" customFormat="1" ht="58.5">
      <c r="A117" s="304" t="s">
        <v>365</v>
      </c>
      <c r="B117" s="304" t="s">
        <v>730</v>
      </c>
      <c r="C117" s="341" t="s">
        <v>797</v>
      </c>
      <c r="D117" s="284"/>
      <c r="E117" s="284"/>
      <c r="F117" s="284"/>
      <c r="G117" s="284"/>
      <c r="H117" s="284"/>
      <c r="I117" s="284"/>
      <c r="J117" s="284">
        <v>1</v>
      </c>
      <c r="K117" s="287">
        <f t="shared" si="12"/>
        <v>6.5421049877008433E-2</v>
      </c>
      <c r="L117" s="356">
        <v>1</v>
      </c>
      <c r="M117" s="284">
        <f>0+1</f>
        <v>1</v>
      </c>
      <c r="N117" s="287">
        <f t="shared" si="13"/>
        <v>6.5421049877008433E-2</v>
      </c>
      <c r="O117" s="287">
        <f>0+1</f>
        <v>1</v>
      </c>
      <c r="P117" s="284">
        <v>0</v>
      </c>
      <c r="Q117" s="287">
        <f t="shared" si="14"/>
        <v>0</v>
      </c>
      <c r="R117" s="284">
        <f t="shared" si="15"/>
        <v>0</v>
      </c>
      <c r="S117" s="284">
        <v>0</v>
      </c>
      <c r="T117" s="287">
        <f t="shared" si="16"/>
        <v>0</v>
      </c>
      <c r="U117" s="287"/>
      <c r="V117" s="283"/>
      <c r="W117" s="287"/>
      <c r="X117" s="287"/>
      <c r="Y117" s="287"/>
      <c r="Z117" s="287"/>
      <c r="AA117" s="287"/>
      <c r="AB117" s="287"/>
      <c r="AC117" s="287"/>
      <c r="AD117" s="287"/>
      <c r="AE117" s="287"/>
      <c r="AF117" s="287"/>
      <c r="AG117" s="287"/>
      <c r="AH117" s="287"/>
      <c r="AI117" s="284"/>
      <c r="AJ117" s="284"/>
      <c r="AK117" s="360"/>
      <c r="AL117" s="305"/>
      <c r="AM117" s="305"/>
      <c r="AN117" s="305"/>
      <c r="AO117" s="305"/>
      <c r="AP117" s="305"/>
      <c r="AQ117" s="305"/>
      <c r="AR117" s="305"/>
      <c r="AS117" s="305"/>
      <c r="AT117" s="305"/>
      <c r="AU117" s="305"/>
    </row>
    <row r="118" spans="1:47" s="306" customFormat="1" ht="39">
      <c r="A118" s="304" t="s">
        <v>367</v>
      </c>
      <c r="B118" s="304" t="s">
        <v>731</v>
      </c>
      <c r="C118" s="341" t="s">
        <v>797</v>
      </c>
      <c r="D118" s="284"/>
      <c r="E118" s="284"/>
      <c r="F118" s="284"/>
      <c r="G118" s="284"/>
      <c r="H118" s="284"/>
      <c r="I118" s="284"/>
      <c r="J118" s="284">
        <v>0.5</v>
      </c>
      <c r="K118" s="287">
        <f t="shared" si="12"/>
        <v>0.22897367456952952</v>
      </c>
      <c r="L118" s="356">
        <v>3.5</v>
      </c>
      <c r="M118" s="284">
        <f>0+0.5</f>
        <v>0.5</v>
      </c>
      <c r="N118" s="287">
        <f t="shared" si="13"/>
        <v>0.22897367456952952</v>
      </c>
      <c r="O118" s="287">
        <f>0+3.5</f>
        <v>3.5</v>
      </c>
      <c r="P118" s="284">
        <v>0</v>
      </c>
      <c r="Q118" s="287">
        <f t="shared" si="14"/>
        <v>0</v>
      </c>
      <c r="R118" s="284">
        <f t="shared" si="15"/>
        <v>0</v>
      </c>
      <c r="S118" s="284">
        <v>0</v>
      </c>
      <c r="T118" s="287">
        <f t="shared" si="16"/>
        <v>0</v>
      </c>
      <c r="U118" s="287"/>
      <c r="V118" s="283"/>
      <c r="W118" s="287"/>
      <c r="X118" s="287"/>
      <c r="Y118" s="287"/>
      <c r="Z118" s="287"/>
      <c r="AA118" s="287"/>
      <c r="AB118" s="287"/>
      <c r="AC118" s="287"/>
      <c r="AD118" s="287"/>
      <c r="AE118" s="287"/>
      <c r="AF118" s="287"/>
      <c r="AG118" s="287"/>
      <c r="AH118" s="287"/>
      <c r="AI118" s="284"/>
      <c r="AJ118" s="284"/>
      <c r="AK118" s="360"/>
      <c r="AL118" s="305"/>
      <c r="AM118" s="305"/>
      <c r="AN118" s="305"/>
      <c r="AO118" s="305"/>
      <c r="AP118" s="305"/>
      <c r="AQ118" s="305"/>
      <c r="AR118" s="305"/>
      <c r="AS118" s="305"/>
      <c r="AT118" s="305"/>
      <c r="AU118" s="305"/>
    </row>
    <row r="119" spans="1:47" s="306" customFormat="1" ht="58.5">
      <c r="A119" s="304" t="s">
        <v>369</v>
      </c>
      <c r="B119" s="304" t="s">
        <v>732</v>
      </c>
      <c r="C119" s="341" t="s">
        <v>797</v>
      </c>
      <c r="D119" s="284"/>
      <c r="E119" s="284"/>
      <c r="F119" s="284"/>
      <c r="G119" s="284"/>
      <c r="H119" s="284"/>
      <c r="I119" s="284"/>
      <c r="J119" s="284">
        <v>1</v>
      </c>
      <c r="K119" s="287">
        <f t="shared" si="12"/>
        <v>6.5421049877008433E-2</v>
      </c>
      <c r="L119" s="356">
        <v>1</v>
      </c>
      <c r="M119" s="284">
        <f>0+1</f>
        <v>1</v>
      </c>
      <c r="N119" s="287">
        <f t="shared" si="13"/>
        <v>6.5421049877008433E-2</v>
      </c>
      <c r="O119" s="287">
        <f>0+1</f>
        <v>1</v>
      </c>
      <c r="P119" s="284">
        <v>0</v>
      </c>
      <c r="Q119" s="287">
        <f t="shared" si="14"/>
        <v>0</v>
      </c>
      <c r="R119" s="284">
        <f t="shared" si="15"/>
        <v>0</v>
      </c>
      <c r="S119" s="284">
        <v>0</v>
      </c>
      <c r="T119" s="287">
        <f t="shared" si="16"/>
        <v>0</v>
      </c>
      <c r="U119" s="287"/>
      <c r="V119" s="283"/>
      <c r="W119" s="287"/>
      <c r="X119" s="287"/>
      <c r="Y119" s="287"/>
      <c r="Z119" s="287"/>
      <c r="AA119" s="287"/>
      <c r="AB119" s="287"/>
      <c r="AC119" s="287"/>
      <c r="AD119" s="287"/>
      <c r="AE119" s="287"/>
      <c r="AF119" s="287"/>
      <c r="AG119" s="287"/>
      <c r="AH119" s="287"/>
      <c r="AI119" s="284"/>
      <c r="AJ119" s="284"/>
      <c r="AK119" s="360"/>
      <c r="AL119" s="305"/>
      <c r="AM119" s="305"/>
      <c r="AN119" s="305"/>
      <c r="AO119" s="305"/>
      <c r="AP119" s="305"/>
      <c r="AQ119" s="305"/>
      <c r="AR119" s="305"/>
      <c r="AS119" s="305"/>
      <c r="AT119" s="305"/>
      <c r="AU119" s="305"/>
    </row>
    <row r="120" spans="1:47" s="306" customFormat="1" ht="58.5">
      <c r="A120" s="304" t="s">
        <v>371</v>
      </c>
      <c r="B120" s="304" t="s">
        <v>733</v>
      </c>
      <c r="C120" s="341" t="s">
        <v>797</v>
      </c>
      <c r="D120" s="284"/>
      <c r="E120" s="284"/>
      <c r="F120" s="284"/>
      <c r="G120" s="284"/>
      <c r="H120" s="284"/>
      <c r="I120" s="284"/>
      <c r="J120" s="284">
        <v>2</v>
      </c>
      <c r="K120" s="287">
        <f t="shared" si="12"/>
        <v>0.13084209975401687</v>
      </c>
      <c r="L120" s="356">
        <v>2</v>
      </c>
      <c r="M120" s="284">
        <f>0+2</f>
        <v>2</v>
      </c>
      <c r="N120" s="287">
        <f t="shared" si="13"/>
        <v>0.13084209975401687</v>
      </c>
      <c r="O120" s="287">
        <f>0+2</f>
        <v>2</v>
      </c>
      <c r="P120" s="284">
        <v>0</v>
      </c>
      <c r="Q120" s="287">
        <f t="shared" si="14"/>
        <v>0</v>
      </c>
      <c r="R120" s="284">
        <f t="shared" si="15"/>
        <v>0</v>
      </c>
      <c r="S120" s="284">
        <v>0</v>
      </c>
      <c r="T120" s="287">
        <f t="shared" si="16"/>
        <v>0</v>
      </c>
      <c r="U120" s="287"/>
      <c r="V120" s="283"/>
      <c r="W120" s="287"/>
      <c r="X120" s="287"/>
      <c r="Y120" s="287"/>
      <c r="Z120" s="287"/>
      <c r="AA120" s="287"/>
      <c r="AB120" s="287"/>
      <c r="AC120" s="287"/>
      <c r="AD120" s="287"/>
      <c r="AE120" s="287"/>
      <c r="AF120" s="287"/>
      <c r="AG120" s="287"/>
      <c r="AH120" s="287"/>
      <c r="AI120" s="284"/>
      <c r="AJ120" s="284"/>
      <c r="AK120" s="360"/>
      <c r="AL120" s="305"/>
      <c r="AM120" s="305"/>
      <c r="AN120" s="305"/>
      <c r="AO120" s="305"/>
      <c r="AP120" s="305"/>
      <c r="AQ120" s="305"/>
      <c r="AR120" s="305"/>
      <c r="AS120" s="305"/>
      <c r="AT120" s="305"/>
      <c r="AU120" s="305"/>
    </row>
    <row r="121" spans="1:47" s="306" customFormat="1" ht="58.5">
      <c r="A121" s="304" t="s">
        <v>373</v>
      </c>
      <c r="B121" s="304" t="s">
        <v>734</v>
      </c>
      <c r="C121" s="341" t="s">
        <v>797</v>
      </c>
      <c r="D121" s="284"/>
      <c r="E121" s="284"/>
      <c r="F121" s="284"/>
      <c r="G121" s="284"/>
      <c r="H121" s="284"/>
      <c r="I121" s="284"/>
      <c r="J121" s="284">
        <v>0.5</v>
      </c>
      <c r="K121" s="287">
        <f t="shared" si="12"/>
        <v>0.22897367456952952</v>
      </c>
      <c r="L121" s="356">
        <v>3.5</v>
      </c>
      <c r="M121" s="284">
        <f>0+0.2</f>
        <v>0.2</v>
      </c>
      <c r="N121" s="287">
        <f t="shared" si="13"/>
        <v>0.22897367456952952</v>
      </c>
      <c r="O121" s="287">
        <f>0+3.5</f>
        <v>3.5</v>
      </c>
      <c r="P121" s="284">
        <v>0</v>
      </c>
      <c r="Q121" s="287">
        <f t="shared" si="14"/>
        <v>0</v>
      </c>
      <c r="R121" s="284">
        <f t="shared" si="15"/>
        <v>0</v>
      </c>
      <c r="S121" s="284">
        <v>0</v>
      </c>
      <c r="T121" s="287">
        <f t="shared" si="16"/>
        <v>0</v>
      </c>
      <c r="U121" s="287"/>
      <c r="V121" s="283"/>
      <c r="W121" s="287"/>
      <c r="X121" s="287"/>
      <c r="Y121" s="287"/>
      <c r="Z121" s="287"/>
      <c r="AA121" s="287"/>
      <c r="AB121" s="287"/>
      <c r="AC121" s="287"/>
      <c r="AD121" s="287"/>
      <c r="AE121" s="287"/>
      <c r="AF121" s="287"/>
      <c r="AG121" s="287"/>
      <c r="AH121" s="287"/>
      <c r="AI121" s="284"/>
      <c r="AJ121" s="284"/>
      <c r="AK121" s="360"/>
      <c r="AL121" s="305"/>
      <c r="AM121" s="305"/>
      <c r="AN121" s="305"/>
      <c r="AO121" s="305"/>
      <c r="AP121" s="305"/>
      <c r="AQ121" s="305"/>
      <c r="AR121" s="305"/>
      <c r="AS121" s="305"/>
      <c r="AT121" s="305"/>
      <c r="AU121" s="305"/>
    </row>
    <row r="122" spans="1:47" s="306" customFormat="1" ht="39">
      <c r="A122" s="304" t="s">
        <v>377</v>
      </c>
      <c r="B122" s="304" t="s">
        <v>735</v>
      </c>
      <c r="C122" s="341" t="s">
        <v>797</v>
      </c>
      <c r="D122" s="284"/>
      <c r="E122" s="284"/>
      <c r="F122" s="284"/>
      <c r="G122" s="284"/>
      <c r="H122" s="284"/>
      <c r="I122" s="284"/>
      <c r="J122" s="284">
        <v>1</v>
      </c>
      <c r="K122" s="287">
        <f t="shared" si="12"/>
        <v>6.5421049877008433E-2</v>
      </c>
      <c r="L122" s="356">
        <v>1</v>
      </c>
      <c r="M122" s="284">
        <f>0+1</f>
        <v>1</v>
      </c>
      <c r="N122" s="287">
        <f t="shared" si="13"/>
        <v>6.5421049877008433E-2</v>
      </c>
      <c r="O122" s="287">
        <f>0+1</f>
        <v>1</v>
      </c>
      <c r="P122" s="284">
        <v>0</v>
      </c>
      <c r="Q122" s="287">
        <f t="shared" si="14"/>
        <v>0</v>
      </c>
      <c r="R122" s="284">
        <f t="shared" si="15"/>
        <v>0</v>
      </c>
      <c r="S122" s="284">
        <v>0</v>
      </c>
      <c r="T122" s="287">
        <f t="shared" si="16"/>
        <v>0</v>
      </c>
      <c r="U122" s="287"/>
      <c r="V122" s="283"/>
      <c r="W122" s="287"/>
      <c r="X122" s="287"/>
      <c r="Y122" s="287"/>
      <c r="Z122" s="287"/>
      <c r="AA122" s="287"/>
      <c r="AB122" s="287"/>
      <c r="AC122" s="287"/>
      <c r="AD122" s="287"/>
      <c r="AE122" s="287"/>
      <c r="AF122" s="287"/>
      <c r="AG122" s="287"/>
      <c r="AH122" s="287"/>
      <c r="AI122" s="284"/>
      <c r="AJ122" s="284"/>
      <c r="AK122" s="360"/>
      <c r="AL122" s="305"/>
      <c r="AM122" s="305"/>
      <c r="AN122" s="305"/>
      <c r="AO122" s="305"/>
      <c r="AP122" s="305"/>
      <c r="AQ122" s="305"/>
      <c r="AR122" s="305"/>
      <c r="AS122" s="305"/>
      <c r="AT122" s="305"/>
      <c r="AU122" s="305"/>
    </row>
    <row r="123" spans="1:47" s="306" customFormat="1" ht="39">
      <c r="A123" s="304" t="s">
        <v>379</v>
      </c>
      <c r="B123" s="304" t="s">
        <v>736</v>
      </c>
      <c r="C123" s="341" t="s">
        <v>797</v>
      </c>
      <c r="D123" s="284"/>
      <c r="E123" s="284"/>
      <c r="F123" s="284"/>
      <c r="G123" s="284"/>
      <c r="H123" s="284"/>
      <c r="I123" s="284"/>
      <c r="J123" s="284">
        <v>1</v>
      </c>
      <c r="K123" s="287">
        <f t="shared" si="12"/>
        <v>6.5421049877008433E-2</v>
      </c>
      <c r="L123" s="356">
        <v>1</v>
      </c>
      <c r="M123" s="284">
        <f>0+1</f>
        <v>1</v>
      </c>
      <c r="N123" s="287">
        <f t="shared" si="13"/>
        <v>6.5421049877008433E-2</v>
      </c>
      <c r="O123" s="287">
        <f>0+1</f>
        <v>1</v>
      </c>
      <c r="P123" s="284">
        <v>0</v>
      </c>
      <c r="Q123" s="287">
        <f t="shared" si="14"/>
        <v>0</v>
      </c>
      <c r="R123" s="284">
        <f t="shared" si="15"/>
        <v>0</v>
      </c>
      <c r="S123" s="284">
        <v>0</v>
      </c>
      <c r="T123" s="287">
        <f t="shared" si="16"/>
        <v>0</v>
      </c>
      <c r="U123" s="287"/>
      <c r="V123" s="283"/>
      <c r="W123" s="287"/>
      <c r="X123" s="287"/>
      <c r="Y123" s="287"/>
      <c r="Z123" s="287"/>
      <c r="AA123" s="287"/>
      <c r="AB123" s="287"/>
      <c r="AC123" s="287"/>
      <c r="AD123" s="287"/>
      <c r="AE123" s="287"/>
      <c r="AF123" s="287"/>
      <c r="AG123" s="287"/>
      <c r="AH123" s="287"/>
      <c r="AI123" s="284"/>
      <c r="AJ123" s="284"/>
      <c r="AK123" s="360"/>
      <c r="AL123" s="305"/>
      <c r="AM123" s="305"/>
      <c r="AN123" s="305"/>
      <c r="AO123" s="305"/>
      <c r="AP123" s="305"/>
      <c r="AQ123" s="305"/>
      <c r="AR123" s="305"/>
      <c r="AS123" s="305"/>
      <c r="AT123" s="305"/>
      <c r="AU123" s="305"/>
    </row>
    <row r="124" spans="1:47" s="306" customFormat="1" ht="39">
      <c r="A124" s="304" t="s">
        <v>381</v>
      </c>
      <c r="B124" s="304" t="s">
        <v>737</v>
      </c>
      <c r="C124" s="341" t="s">
        <v>797</v>
      </c>
      <c r="D124" s="284"/>
      <c r="E124" s="284"/>
      <c r="F124" s="284"/>
      <c r="G124" s="284"/>
      <c r="H124" s="284"/>
      <c r="I124" s="284"/>
      <c r="J124" s="284">
        <v>5</v>
      </c>
      <c r="K124" s="287">
        <f t="shared" si="12"/>
        <v>0.16355262469252108</v>
      </c>
      <c r="L124" s="356">
        <v>2.5</v>
      </c>
      <c r="M124" s="284">
        <f>0+5</f>
        <v>5</v>
      </c>
      <c r="N124" s="287">
        <f t="shared" si="13"/>
        <v>0.16355262469252108</v>
      </c>
      <c r="O124" s="287">
        <f>0+2.5</f>
        <v>2.5</v>
      </c>
      <c r="P124" s="284">
        <v>0</v>
      </c>
      <c r="Q124" s="287">
        <f t="shared" si="14"/>
        <v>0</v>
      </c>
      <c r="R124" s="284">
        <f t="shared" si="15"/>
        <v>0</v>
      </c>
      <c r="S124" s="284">
        <v>0</v>
      </c>
      <c r="T124" s="287">
        <f t="shared" si="16"/>
        <v>0</v>
      </c>
      <c r="U124" s="287"/>
      <c r="V124" s="283"/>
      <c r="W124" s="287"/>
      <c r="X124" s="287"/>
      <c r="Y124" s="287"/>
      <c r="Z124" s="287"/>
      <c r="AA124" s="287"/>
      <c r="AB124" s="287"/>
      <c r="AC124" s="287"/>
      <c r="AD124" s="287"/>
      <c r="AE124" s="287"/>
      <c r="AF124" s="287"/>
      <c r="AG124" s="287"/>
      <c r="AH124" s="287"/>
      <c r="AI124" s="284"/>
      <c r="AJ124" s="284"/>
      <c r="AK124" s="360"/>
      <c r="AL124" s="305"/>
      <c r="AM124" s="305"/>
      <c r="AN124" s="305"/>
      <c r="AO124" s="305"/>
      <c r="AP124" s="305"/>
      <c r="AQ124" s="305"/>
      <c r="AR124" s="305"/>
      <c r="AS124" s="305"/>
      <c r="AT124" s="305"/>
      <c r="AU124" s="305"/>
    </row>
    <row r="125" spans="1:47" s="306" customFormat="1" ht="39">
      <c r="A125" s="304" t="s">
        <v>383</v>
      </c>
      <c r="B125" s="304" t="s">
        <v>738</v>
      </c>
      <c r="C125" s="341" t="s">
        <v>797</v>
      </c>
      <c r="D125" s="284"/>
      <c r="E125" s="284"/>
      <c r="F125" s="284"/>
      <c r="G125" s="284"/>
      <c r="H125" s="284"/>
      <c r="I125" s="284"/>
      <c r="J125" s="284">
        <v>1</v>
      </c>
      <c r="K125" s="287">
        <f t="shared" si="12"/>
        <v>0</v>
      </c>
      <c r="L125" s="356">
        <v>0</v>
      </c>
      <c r="M125" s="284">
        <f>0+0</f>
        <v>0</v>
      </c>
      <c r="N125" s="287">
        <f t="shared" si="13"/>
        <v>0</v>
      </c>
      <c r="O125" s="287">
        <f>0+0</f>
        <v>0</v>
      </c>
      <c r="P125" s="284">
        <v>0</v>
      </c>
      <c r="Q125" s="287">
        <f t="shared" si="14"/>
        <v>0</v>
      </c>
      <c r="R125" s="284">
        <v>0</v>
      </c>
      <c r="S125" s="284">
        <v>0</v>
      </c>
      <c r="T125" s="287">
        <f t="shared" si="16"/>
        <v>0</v>
      </c>
      <c r="U125" s="287"/>
      <c r="V125" s="283"/>
      <c r="W125" s="287"/>
      <c r="X125" s="287"/>
      <c r="Y125" s="287"/>
      <c r="Z125" s="287"/>
      <c r="AA125" s="287"/>
      <c r="AB125" s="287"/>
      <c r="AC125" s="287"/>
      <c r="AD125" s="287"/>
      <c r="AE125" s="287"/>
      <c r="AF125" s="287"/>
      <c r="AG125" s="287"/>
      <c r="AH125" s="287"/>
      <c r="AI125" s="284"/>
      <c r="AJ125" s="284"/>
      <c r="AK125" s="360"/>
      <c r="AL125" s="305"/>
      <c r="AM125" s="305"/>
      <c r="AN125" s="305"/>
      <c r="AO125" s="305"/>
      <c r="AP125" s="305"/>
      <c r="AQ125" s="305"/>
      <c r="AR125" s="305"/>
      <c r="AS125" s="305"/>
      <c r="AT125" s="305"/>
      <c r="AU125" s="305"/>
    </row>
    <row r="126" spans="1:47" s="306" customFormat="1" ht="58.5">
      <c r="A126" s="304" t="s">
        <v>385</v>
      </c>
      <c r="B126" s="304" t="s">
        <v>739</v>
      </c>
      <c r="C126" s="341" t="s">
        <v>797</v>
      </c>
      <c r="D126" s="284"/>
      <c r="E126" s="284"/>
      <c r="F126" s="284"/>
      <c r="G126" s="284"/>
      <c r="H126" s="284"/>
      <c r="I126" s="284"/>
      <c r="J126" s="284">
        <v>1</v>
      </c>
      <c r="K126" s="287">
        <f t="shared" si="12"/>
        <v>0</v>
      </c>
      <c r="L126" s="356">
        <v>0</v>
      </c>
      <c r="M126" s="284">
        <f>0+0</f>
        <v>0</v>
      </c>
      <c r="N126" s="287">
        <f t="shared" si="13"/>
        <v>0</v>
      </c>
      <c r="O126" s="287">
        <f>0+0</f>
        <v>0</v>
      </c>
      <c r="P126" s="284">
        <v>0</v>
      </c>
      <c r="Q126" s="287">
        <f t="shared" si="14"/>
        <v>0</v>
      </c>
      <c r="R126" s="284">
        <v>0</v>
      </c>
      <c r="S126" s="284">
        <v>0</v>
      </c>
      <c r="T126" s="287">
        <f t="shared" si="16"/>
        <v>0</v>
      </c>
      <c r="U126" s="287"/>
      <c r="V126" s="283"/>
      <c r="W126" s="287"/>
      <c r="X126" s="287"/>
      <c r="Y126" s="287"/>
      <c r="Z126" s="287"/>
      <c r="AA126" s="287"/>
      <c r="AB126" s="287"/>
      <c r="AC126" s="287"/>
      <c r="AD126" s="287"/>
      <c r="AE126" s="287"/>
      <c r="AF126" s="287"/>
      <c r="AG126" s="287"/>
      <c r="AH126" s="287"/>
      <c r="AI126" s="284"/>
      <c r="AJ126" s="284"/>
      <c r="AK126" s="360"/>
      <c r="AL126" s="305"/>
      <c r="AM126" s="305"/>
      <c r="AN126" s="305"/>
      <c r="AO126" s="305"/>
      <c r="AP126" s="305"/>
      <c r="AQ126" s="305"/>
      <c r="AR126" s="305"/>
      <c r="AS126" s="305"/>
      <c r="AT126" s="305"/>
      <c r="AU126" s="305"/>
    </row>
    <row r="127" spans="1:47" s="306" customFormat="1" ht="58.5">
      <c r="A127" s="304" t="s">
        <v>387</v>
      </c>
      <c r="B127" s="304" t="s">
        <v>740</v>
      </c>
      <c r="C127" s="341" t="s">
        <v>797</v>
      </c>
      <c r="D127" s="284"/>
      <c r="E127" s="284"/>
      <c r="F127" s="284"/>
      <c r="G127" s="284"/>
      <c r="H127" s="284"/>
      <c r="I127" s="284"/>
      <c r="J127" s="284">
        <v>5</v>
      </c>
      <c r="K127" s="287">
        <f t="shared" si="12"/>
        <v>0.32710524938504215</v>
      </c>
      <c r="L127" s="356">
        <v>5</v>
      </c>
      <c r="M127" s="284">
        <f>0+2</f>
        <v>2</v>
      </c>
      <c r="N127" s="287">
        <f t="shared" si="13"/>
        <v>0.13084209975401687</v>
      </c>
      <c r="O127" s="287">
        <f>0+2</f>
        <v>2</v>
      </c>
      <c r="P127" s="284">
        <v>0</v>
      </c>
      <c r="Q127" s="287">
        <f t="shared" si="14"/>
        <v>0</v>
      </c>
      <c r="R127" s="284">
        <f t="shared" si="15"/>
        <v>0</v>
      </c>
      <c r="S127" s="284">
        <v>0</v>
      </c>
      <c r="T127" s="287">
        <f t="shared" si="16"/>
        <v>0</v>
      </c>
      <c r="U127" s="287"/>
      <c r="V127" s="283"/>
      <c r="W127" s="287"/>
      <c r="X127" s="287"/>
      <c r="Y127" s="287"/>
      <c r="Z127" s="287"/>
      <c r="AA127" s="287"/>
      <c r="AB127" s="287"/>
      <c r="AC127" s="287"/>
      <c r="AD127" s="287"/>
      <c r="AE127" s="287"/>
      <c r="AF127" s="287"/>
      <c r="AG127" s="287"/>
      <c r="AH127" s="287"/>
      <c r="AI127" s="284"/>
      <c r="AJ127" s="284"/>
      <c r="AK127" s="360"/>
      <c r="AL127" s="305"/>
      <c r="AM127" s="305"/>
      <c r="AN127" s="305"/>
      <c r="AO127" s="305"/>
      <c r="AP127" s="305"/>
      <c r="AQ127" s="305"/>
      <c r="AR127" s="305"/>
      <c r="AS127" s="305"/>
      <c r="AT127" s="305"/>
      <c r="AU127" s="305"/>
    </row>
    <row r="128" spans="1:47" s="306" customFormat="1" ht="39">
      <c r="A128" s="304" t="s">
        <v>537</v>
      </c>
      <c r="B128" s="304" t="s">
        <v>741</v>
      </c>
      <c r="C128" s="340" t="s">
        <v>794</v>
      </c>
      <c r="D128" s="284"/>
      <c r="E128" s="284"/>
      <c r="F128" s="284"/>
      <c r="G128" s="284"/>
      <c r="H128" s="284"/>
      <c r="I128" s="284"/>
      <c r="J128" s="284">
        <v>4</v>
      </c>
      <c r="K128" s="287">
        <f t="shared" si="12"/>
        <v>4.5794734913905897</v>
      </c>
      <c r="L128" s="356">
        <v>70</v>
      </c>
      <c r="M128" s="284">
        <f>0+2</f>
        <v>2</v>
      </c>
      <c r="N128" s="287">
        <f t="shared" si="13"/>
        <v>2.2897367456952948</v>
      </c>
      <c r="O128" s="287">
        <f>0+35</f>
        <v>35</v>
      </c>
      <c r="P128" s="284">
        <v>0</v>
      </c>
      <c r="Q128" s="287">
        <f t="shared" si="14"/>
        <v>0</v>
      </c>
      <c r="R128" s="284">
        <f t="shared" si="15"/>
        <v>0</v>
      </c>
      <c r="S128" s="284">
        <v>0</v>
      </c>
      <c r="T128" s="287">
        <f t="shared" si="16"/>
        <v>0</v>
      </c>
      <c r="U128" s="287"/>
      <c r="V128" s="283"/>
      <c r="W128" s="287"/>
      <c r="X128" s="287"/>
      <c r="Y128" s="287"/>
      <c r="Z128" s="287"/>
      <c r="AA128" s="287"/>
      <c r="AB128" s="287"/>
      <c r="AC128" s="287"/>
      <c r="AD128" s="287"/>
      <c r="AE128" s="287"/>
      <c r="AF128" s="287"/>
      <c r="AG128" s="287"/>
      <c r="AH128" s="287"/>
      <c r="AI128" s="284"/>
      <c r="AJ128" s="284"/>
      <c r="AK128" s="360"/>
      <c r="AL128" s="305"/>
      <c r="AM128" s="305"/>
      <c r="AN128" s="305"/>
      <c r="AO128" s="305"/>
      <c r="AP128" s="305"/>
      <c r="AQ128" s="305"/>
      <c r="AR128" s="305"/>
      <c r="AS128" s="305"/>
      <c r="AT128" s="305"/>
      <c r="AU128" s="305"/>
    </row>
    <row r="129" spans="1:47" s="306" customFormat="1" ht="58.5">
      <c r="A129" s="304" t="s">
        <v>389</v>
      </c>
      <c r="B129" s="304" t="s">
        <v>742</v>
      </c>
      <c r="C129" s="341" t="s">
        <v>797</v>
      </c>
      <c r="D129" s="284"/>
      <c r="E129" s="284"/>
      <c r="F129" s="284"/>
      <c r="G129" s="284"/>
      <c r="H129" s="284"/>
      <c r="I129" s="284"/>
      <c r="J129" s="284">
        <v>6</v>
      </c>
      <c r="K129" s="287">
        <f t="shared" si="12"/>
        <v>1.5701051970482021</v>
      </c>
      <c r="L129" s="356">
        <v>24</v>
      </c>
      <c r="M129" s="284">
        <f>3+3</f>
        <v>6</v>
      </c>
      <c r="N129" s="287">
        <f t="shared" si="13"/>
        <v>1.5701051970482021</v>
      </c>
      <c r="O129" s="287">
        <f>12+12</f>
        <v>24</v>
      </c>
      <c r="P129" s="284">
        <v>2</v>
      </c>
      <c r="Q129" s="287">
        <f t="shared" si="14"/>
        <v>0.52336839901606735</v>
      </c>
      <c r="R129" s="284">
        <f t="shared" si="15"/>
        <v>33.33</v>
      </c>
      <c r="S129" s="284">
        <v>0</v>
      </c>
      <c r="T129" s="287">
        <f t="shared" si="16"/>
        <v>0</v>
      </c>
      <c r="U129" s="287"/>
      <c r="V129" s="283"/>
      <c r="W129" s="287"/>
      <c r="X129" s="287"/>
      <c r="Y129" s="287"/>
      <c r="Z129" s="287"/>
      <c r="AA129" s="287"/>
      <c r="AB129" s="287"/>
      <c r="AC129" s="287"/>
      <c r="AD129" s="287"/>
      <c r="AE129" s="287"/>
      <c r="AF129" s="287"/>
      <c r="AG129" s="287"/>
      <c r="AH129" s="287"/>
      <c r="AI129" s="284"/>
      <c r="AJ129" s="284"/>
      <c r="AK129" s="360"/>
      <c r="AL129" s="305"/>
      <c r="AM129" s="305"/>
      <c r="AN129" s="305"/>
      <c r="AO129" s="305"/>
      <c r="AP129" s="305"/>
      <c r="AQ129" s="305"/>
      <c r="AR129" s="305"/>
      <c r="AS129" s="305"/>
      <c r="AT129" s="305"/>
      <c r="AU129" s="305"/>
    </row>
    <row r="130" spans="1:47" s="306" customFormat="1" ht="58.5">
      <c r="A130" s="304" t="s">
        <v>391</v>
      </c>
      <c r="B130" s="304" t="s">
        <v>743</v>
      </c>
      <c r="C130" s="341" t="s">
        <v>797</v>
      </c>
      <c r="D130" s="284"/>
      <c r="E130" s="284"/>
      <c r="F130" s="284"/>
      <c r="G130" s="284"/>
      <c r="H130" s="284"/>
      <c r="I130" s="284"/>
      <c r="J130" s="284">
        <v>6</v>
      </c>
      <c r="K130" s="287">
        <f t="shared" si="12"/>
        <v>0.39252629926205052</v>
      </c>
      <c r="L130" s="356">
        <v>6</v>
      </c>
      <c r="M130" s="284">
        <f>0+3</f>
        <v>3</v>
      </c>
      <c r="N130" s="287">
        <f t="shared" si="13"/>
        <v>0.19626314963102526</v>
      </c>
      <c r="O130" s="287">
        <f>0+3</f>
        <v>3</v>
      </c>
      <c r="P130" s="284">
        <v>0</v>
      </c>
      <c r="Q130" s="287">
        <f t="shared" si="14"/>
        <v>0</v>
      </c>
      <c r="R130" s="284">
        <f t="shared" si="15"/>
        <v>0</v>
      </c>
      <c r="S130" s="284">
        <v>0</v>
      </c>
      <c r="T130" s="287">
        <f t="shared" si="16"/>
        <v>0</v>
      </c>
      <c r="U130" s="287"/>
      <c r="V130" s="283"/>
      <c r="W130" s="287"/>
      <c r="X130" s="287"/>
      <c r="Y130" s="287"/>
      <c r="Z130" s="287"/>
      <c r="AA130" s="287"/>
      <c r="AB130" s="287"/>
      <c r="AC130" s="287"/>
      <c r="AD130" s="287"/>
      <c r="AE130" s="287"/>
      <c r="AF130" s="287"/>
      <c r="AG130" s="287"/>
      <c r="AH130" s="287"/>
      <c r="AI130" s="284"/>
      <c r="AJ130" s="284"/>
      <c r="AK130" s="360"/>
      <c r="AL130" s="305"/>
      <c r="AM130" s="305"/>
      <c r="AN130" s="305"/>
      <c r="AO130" s="305"/>
      <c r="AP130" s="305"/>
      <c r="AQ130" s="305"/>
      <c r="AR130" s="305"/>
      <c r="AS130" s="305"/>
      <c r="AT130" s="305"/>
      <c r="AU130" s="305"/>
    </row>
    <row r="131" spans="1:47" s="306" customFormat="1" ht="39">
      <c r="A131" s="304" t="s">
        <v>393</v>
      </c>
      <c r="B131" s="304" t="s">
        <v>744</v>
      </c>
      <c r="C131" s="341" t="s">
        <v>797</v>
      </c>
      <c r="D131" s="284"/>
      <c r="E131" s="284"/>
      <c r="F131" s="284"/>
      <c r="G131" s="284"/>
      <c r="H131" s="284"/>
      <c r="I131" s="284"/>
      <c r="J131" s="284">
        <v>0.5</v>
      </c>
      <c r="K131" s="287">
        <f t="shared" si="12"/>
        <v>3.2710524938504217E-2</v>
      </c>
      <c r="L131" s="356">
        <v>0.5</v>
      </c>
      <c r="M131" s="284">
        <f>0+0.5</f>
        <v>0.5</v>
      </c>
      <c r="N131" s="287">
        <f t="shared" si="13"/>
        <v>3.2710524938504217E-2</v>
      </c>
      <c r="O131" s="287">
        <f>0+0.5</f>
        <v>0.5</v>
      </c>
      <c r="P131" s="284">
        <v>0</v>
      </c>
      <c r="Q131" s="287">
        <f t="shared" si="14"/>
        <v>0</v>
      </c>
      <c r="R131" s="284">
        <f t="shared" si="15"/>
        <v>0</v>
      </c>
      <c r="S131" s="284">
        <v>0</v>
      </c>
      <c r="T131" s="287">
        <f t="shared" si="16"/>
        <v>0</v>
      </c>
      <c r="U131" s="287"/>
      <c r="V131" s="283"/>
      <c r="W131" s="287"/>
      <c r="X131" s="287"/>
      <c r="Y131" s="287"/>
      <c r="Z131" s="287"/>
      <c r="AA131" s="287"/>
      <c r="AB131" s="287"/>
      <c r="AC131" s="287"/>
      <c r="AD131" s="287"/>
      <c r="AE131" s="287"/>
      <c r="AF131" s="287"/>
      <c r="AG131" s="287"/>
      <c r="AH131" s="287"/>
      <c r="AI131" s="284"/>
      <c r="AJ131" s="284"/>
      <c r="AK131" s="360"/>
      <c r="AL131" s="305"/>
      <c r="AM131" s="305"/>
      <c r="AN131" s="305"/>
      <c r="AO131" s="305"/>
      <c r="AP131" s="305"/>
      <c r="AQ131" s="305"/>
      <c r="AR131" s="305"/>
      <c r="AS131" s="305"/>
      <c r="AT131" s="305"/>
      <c r="AU131" s="305"/>
    </row>
    <row r="132" spans="1:47" s="306" customFormat="1" ht="39">
      <c r="A132" s="304" t="s">
        <v>450</v>
      </c>
      <c r="B132" s="304" t="s">
        <v>745</v>
      </c>
      <c r="C132" s="341" t="s">
        <v>797</v>
      </c>
      <c r="D132" s="284"/>
      <c r="E132" s="284"/>
      <c r="F132" s="284"/>
      <c r="G132" s="284"/>
      <c r="H132" s="284"/>
      <c r="I132" s="284"/>
      <c r="J132" s="284">
        <v>1</v>
      </c>
      <c r="K132" s="287">
        <f t="shared" si="12"/>
        <v>0.26168419950803373</v>
      </c>
      <c r="L132" s="356">
        <v>4</v>
      </c>
      <c r="M132" s="284">
        <f>0+1</f>
        <v>1</v>
      </c>
      <c r="N132" s="287">
        <f t="shared" si="13"/>
        <v>0.13084209975401687</v>
      </c>
      <c r="O132" s="287">
        <f>0+2</f>
        <v>2</v>
      </c>
      <c r="P132" s="284">
        <v>0</v>
      </c>
      <c r="Q132" s="287">
        <f t="shared" si="14"/>
        <v>0</v>
      </c>
      <c r="R132" s="284">
        <f t="shared" si="15"/>
        <v>0</v>
      </c>
      <c r="S132" s="284">
        <v>0</v>
      </c>
      <c r="T132" s="287">
        <f t="shared" si="16"/>
        <v>0</v>
      </c>
      <c r="U132" s="287"/>
      <c r="V132" s="283"/>
      <c r="W132" s="287"/>
      <c r="X132" s="287"/>
      <c r="Y132" s="287"/>
      <c r="Z132" s="287"/>
      <c r="AA132" s="287"/>
      <c r="AB132" s="287"/>
      <c r="AC132" s="287"/>
      <c r="AD132" s="287"/>
      <c r="AE132" s="287"/>
      <c r="AF132" s="287"/>
      <c r="AG132" s="287"/>
      <c r="AH132" s="287"/>
      <c r="AI132" s="284"/>
      <c r="AJ132" s="284"/>
      <c r="AK132" s="360"/>
      <c r="AL132" s="305"/>
      <c r="AM132" s="305"/>
      <c r="AN132" s="305"/>
      <c r="AO132" s="305"/>
      <c r="AP132" s="305"/>
      <c r="AQ132" s="305"/>
      <c r="AR132" s="305"/>
      <c r="AS132" s="305"/>
      <c r="AT132" s="305"/>
      <c r="AU132" s="305"/>
    </row>
    <row r="133" spans="1:47" s="306" customFormat="1" ht="58.5">
      <c r="A133" s="304" t="s">
        <v>395</v>
      </c>
      <c r="B133" s="304" t="s">
        <v>746</v>
      </c>
      <c r="C133" s="340" t="s">
        <v>794</v>
      </c>
      <c r="D133" s="284"/>
      <c r="E133" s="284"/>
      <c r="F133" s="284"/>
      <c r="G133" s="284"/>
      <c r="H133" s="284"/>
      <c r="I133" s="284"/>
      <c r="J133" s="284">
        <v>5</v>
      </c>
      <c r="K133" s="287">
        <f t="shared" si="12"/>
        <v>0.32710524938504215</v>
      </c>
      <c r="L133" s="356">
        <v>5</v>
      </c>
      <c r="M133" s="284">
        <f>0+2</f>
        <v>2</v>
      </c>
      <c r="N133" s="287">
        <f t="shared" si="13"/>
        <v>0.13084209975401687</v>
      </c>
      <c r="O133" s="287">
        <f>0+2</f>
        <v>2</v>
      </c>
      <c r="P133" s="284">
        <v>0</v>
      </c>
      <c r="Q133" s="287">
        <f t="shared" si="14"/>
        <v>0</v>
      </c>
      <c r="R133" s="284">
        <f t="shared" si="15"/>
        <v>0</v>
      </c>
      <c r="S133" s="284">
        <v>0</v>
      </c>
      <c r="T133" s="287">
        <f t="shared" si="16"/>
        <v>0</v>
      </c>
      <c r="U133" s="287"/>
      <c r="V133" s="283"/>
      <c r="W133" s="287"/>
      <c r="X133" s="287"/>
      <c r="Y133" s="287"/>
      <c r="Z133" s="287"/>
      <c r="AA133" s="287"/>
      <c r="AB133" s="287"/>
      <c r="AC133" s="287"/>
      <c r="AD133" s="287"/>
      <c r="AE133" s="287"/>
      <c r="AF133" s="287"/>
      <c r="AG133" s="287"/>
      <c r="AH133" s="287"/>
      <c r="AI133" s="284"/>
      <c r="AJ133" s="284"/>
      <c r="AK133" s="360"/>
      <c r="AL133" s="305"/>
      <c r="AM133" s="305"/>
      <c r="AN133" s="305"/>
      <c r="AO133" s="305"/>
      <c r="AP133" s="305"/>
      <c r="AQ133" s="305"/>
      <c r="AR133" s="305"/>
      <c r="AS133" s="305"/>
      <c r="AT133" s="305"/>
      <c r="AU133" s="305"/>
    </row>
    <row r="134" spans="1:47" s="306" customFormat="1" ht="58.5">
      <c r="A134" s="334" t="s">
        <v>600</v>
      </c>
      <c r="B134" s="334" t="s">
        <v>747</v>
      </c>
      <c r="C134" s="342" t="s">
        <v>794</v>
      </c>
      <c r="D134" s="281"/>
      <c r="E134" s="281"/>
      <c r="F134" s="281"/>
      <c r="G134" s="281"/>
      <c r="H134" s="281"/>
      <c r="I134" s="281"/>
      <c r="J134" s="281">
        <v>2</v>
      </c>
      <c r="K134" s="299">
        <f t="shared" si="12"/>
        <v>0.6542104987700843</v>
      </c>
      <c r="L134" s="362">
        <v>10</v>
      </c>
      <c r="M134" s="281">
        <f>1+1</f>
        <v>2</v>
      </c>
      <c r="N134" s="299">
        <f t="shared" si="13"/>
        <v>0.6542104987700843</v>
      </c>
      <c r="O134" s="299">
        <f>5+5</f>
        <v>10</v>
      </c>
      <c r="P134" s="281">
        <v>1</v>
      </c>
      <c r="Q134" s="359">
        <f t="shared" si="14"/>
        <v>0.32710524938504215</v>
      </c>
      <c r="R134" s="281">
        <f t="shared" si="15"/>
        <v>50</v>
      </c>
      <c r="S134" s="281">
        <v>0</v>
      </c>
      <c r="T134" s="299">
        <f t="shared" si="16"/>
        <v>0</v>
      </c>
      <c r="U134" s="299"/>
      <c r="V134" s="358"/>
      <c r="W134" s="299"/>
      <c r="X134" s="299"/>
      <c r="Y134" s="299"/>
      <c r="Z134" s="299"/>
      <c r="AA134" s="299"/>
      <c r="AB134" s="299"/>
      <c r="AC134" s="299"/>
      <c r="AD134" s="299"/>
      <c r="AE134" s="299"/>
      <c r="AF134" s="299"/>
      <c r="AG134" s="299"/>
      <c r="AH134" s="299"/>
      <c r="AI134" s="281"/>
      <c r="AJ134" s="281"/>
      <c r="AK134" s="361"/>
      <c r="AL134" s="305"/>
      <c r="AM134" s="305"/>
      <c r="AN134" s="305"/>
      <c r="AO134" s="305"/>
      <c r="AP134" s="305"/>
      <c r="AQ134" s="305"/>
      <c r="AR134" s="305"/>
      <c r="AS134" s="305"/>
      <c r="AT134" s="305"/>
      <c r="AU134" s="305"/>
    </row>
    <row r="135" spans="1:47" s="177" customFormat="1" ht="19.5">
      <c r="A135" s="331" t="s">
        <v>748</v>
      </c>
      <c r="B135" s="332" t="s">
        <v>749</v>
      </c>
      <c r="C135" s="331"/>
      <c r="D135" s="331"/>
      <c r="E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331">
        <f>SUM(G32:G32)</f>
        <v>0</v>
      </c>
      <c r="H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333"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331"/>
      <c r="K135" s="333">
        <v>92.32</v>
      </c>
      <c r="L135" s="333">
        <f>SUM(L22:L30,L32:L33,L35,L37,L39,L41,L43,L45,L47,L49,L51,L53,L55,L57,L59,L61,L63,L65,L67:L134)</f>
        <v>1409.9999999999998</v>
      </c>
      <c r="M135" s="331"/>
      <c r="N135" s="333">
        <v>17.78</v>
      </c>
      <c r="O135" s="333">
        <f>SUM(O22:O30,O32:O33,O35,O37,O39,O41,O43,O45,O47,O49,O51,O53,O55,O57,O59,O61,O63,O65,O67:O134)</f>
        <v>948.3</v>
      </c>
      <c r="P135" s="333"/>
      <c r="Q135" s="329">
        <f>SUM(Q22:Q30,Q32:Q33,Q35,Q37,Q39,Q41,Q43,Q45,Q47,Q49,Q51,Q53,Q55,Q57,Q59,Q61,Q63,Q65,Q67:Q134)</f>
        <v>17.213330440277744</v>
      </c>
      <c r="R135" s="329">
        <f>Q135/N135*100</f>
        <v>96.812882116297772</v>
      </c>
      <c r="S135" s="333">
        <f>SUM(S22:S134)</f>
        <v>153.55000000000001</v>
      </c>
      <c r="T135" s="333">
        <f>S135*100/O135</f>
        <v>16.19213329115259</v>
      </c>
      <c r="U135" s="333"/>
      <c r="V135" s="333">
        <f>SUM(V31:V134)</f>
        <v>11.120000000000001</v>
      </c>
      <c r="W135" s="333" t="e">
        <f>#REF!+#REF!+#REF!+#REF!</f>
        <v>#REF!</v>
      </c>
      <c r="X135" s="333"/>
      <c r="Y135" s="333"/>
      <c r="Z135" s="333">
        <f>SUM(Z31:Z134)</f>
        <v>2.7825262992620505</v>
      </c>
      <c r="AA135" s="333"/>
      <c r="AB135" s="333"/>
      <c r="AC135" s="333"/>
      <c r="AD135" s="333"/>
      <c r="AE135" s="333"/>
      <c r="AF135" s="333"/>
      <c r="AG135" s="333"/>
      <c r="AH135" s="333">
        <f>SUM(AH31:AH134)</f>
        <v>2.9621578479091433</v>
      </c>
      <c r="AI135" s="331"/>
      <c r="AJ135" s="331"/>
      <c r="AK135" s="331"/>
      <c r="AL135" s="220"/>
      <c r="AM135" s="220"/>
      <c r="AN135" s="220"/>
      <c r="AO135" s="220"/>
      <c r="AP135" s="220"/>
      <c r="AQ135" s="220"/>
      <c r="AR135" s="220"/>
      <c r="AS135" s="220"/>
      <c r="AT135" s="220"/>
      <c r="AU135" s="220"/>
    </row>
    <row r="136" spans="1:47" ht="19.5">
      <c r="A136" s="281"/>
      <c r="B136" s="298" t="s">
        <v>756</v>
      </c>
      <c r="C136" s="281"/>
      <c r="D136" s="281"/>
      <c r="E136" s="281">
        <v>100</v>
      </c>
      <c r="F136" s="281" t="e">
        <f t="shared" ref="F136:AH136" si="17">F135</f>
        <v>#REF!</v>
      </c>
      <c r="G136" s="281">
        <f t="shared" si="17"/>
        <v>0</v>
      </c>
      <c r="H136" s="281" t="e">
        <f t="shared" si="17"/>
        <v>#REF!</v>
      </c>
      <c r="I136" s="281" t="e">
        <f t="shared" si="17"/>
        <v>#REF!</v>
      </c>
      <c r="J136" s="281"/>
      <c r="K136" s="281">
        <f t="shared" si="17"/>
        <v>92.32</v>
      </c>
      <c r="L136" s="299">
        <f>L135</f>
        <v>1409.9999999999998</v>
      </c>
      <c r="M136" s="281"/>
      <c r="N136" s="281">
        <f>N135</f>
        <v>17.78</v>
      </c>
      <c r="O136" s="299">
        <f>O135</f>
        <v>948.3</v>
      </c>
      <c r="P136" s="281"/>
      <c r="Q136" s="299">
        <f t="shared" ref="Q136:S136" si="18">Q135</f>
        <v>17.213330440277744</v>
      </c>
      <c r="R136" s="299">
        <f t="shared" si="18"/>
        <v>96.812882116297772</v>
      </c>
      <c r="S136" s="299">
        <f t="shared" si="18"/>
        <v>153.55000000000001</v>
      </c>
      <c r="T136" s="333">
        <f>S136*100/O136</f>
        <v>16.19213329115259</v>
      </c>
      <c r="U136" s="281"/>
      <c r="V136" s="281">
        <f t="shared" si="17"/>
        <v>11.120000000000001</v>
      </c>
      <c r="W136" s="281" t="e">
        <f t="shared" si="17"/>
        <v>#REF!</v>
      </c>
      <c r="X136" s="281"/>
      <c r="Y136" s="281"/>
      <c r="Z136" s="299">
        <f t="shared" si="17"/>
        <v>2.7825262992620505</v>
      </c>
      <c r="AA136" s="299"/>
      <c r="AB136" s="299"/>
      <c r="AC136" s="299"/>
      <c r="AD136" s="299"/>
      <c r="AE136" s="299"/>
      <c r="AF136" s="299"/>
      <c r="AG136" s="281"/>
      <c r="AH136" s="299">
        <f t="shared" si="17"/>
        <v>2.9621578479091433</v>
      </c>
      <c r="AI136" s="281"/>
      <c r="AJ136" s="281"/>
      <c r="AK136" s="281"/>
      <c r="AL136" s="220"/>
      <c r="AM136" s="220"/>
      <c r="AN136" s="220"/>
      <c r="AO136" s="220"/>
      <c r="AP136" s="220"/>
      <c r="AQ136" s="220"/>
      <c r="AR136" s="220"/>
      <c r="AS136" s="220"/>
      <c r="AT136" s="220"/>
      <c r="AU136" s="220"/>
    </row>
    <row r="137" spans="1:47" s="220" customFormat="1" ht="19.5">
      <c r="C137" s="311"/>
      <c r="D137" s="254"/>
      <c r="E137" s="254"/>
      <c r="F137" s="254"/>
      <c r="G137" s="254"/>
      <c r="H137" s="254"/>
      <c r="I137" s="254"/>
      <c r="J137" s="255"/>
      <c r="K137" s="617"/>
      <c r="L137" s="617"/>
      <c r="M137" s="255"/>
      <c r="N137" s="255"/>
      <c r="O137" s="255"/>
      <c r="P137" s="255"/>
      <c r="Q137" s="255"/>
      <c r="R137" s="255"/>
      <c r="S137" s="255"/>
      <c r="T137" s="255"/>
      <c r="U137" s="255"/>
      <c r="V137" s="255"/>
      <c r="W137" s="255"/>
      <c r="X137" s="255"/>
      <c r="Y137" s="255"/>
      <c r="Z137" s="254"/>
      <c r="AA137" s="254"/>
      <c r="AB137" s="254"/>
      <c r="AC137" s="254"/>
      <c r="AD137" s="254"/>
      <c r="AE137" s="254"/>
      <c r="AF137" s="254"/>
      <c r="AG137" s="254"/>
      <c r="AH137" s="256"/>
      <c r="AI137" s="256"/>
      <c r="AJ137" s="256"/>
      <c r="AK137" s="256"/>
    </row>
    <row r="138" spans="1:47" s="220" customFormat="1" ht="19.5">
      <c r="C138" s="311"/>
      <c r="D138" s="256"/>
      <c r="E138" s="256"/>
      <c r="F138" s="256"/>
      <c r="G138" s="256"/>
      <c r="H138" s="256"/>
      <c r="I138" s="256"/>
      <c r="J138" s="257"/>
      <c r="K138" s="257"/>
      <c r="L138" s="321"/>
      <c r="M138" s="257"/>
      <c r="N138" s="257"/>
      <c r="O138" s="257"/>
      <c r="P138" s="257"/>
      <c r="Q138" s="257"/>
      <c r="R138" s="257"/>
      <c r="S138" s="257"/>
      <c r="T138" s="257"/>
      <c r="U138" s="257"/>
      <c r="V138" s="257"/>
      <c r="W138" s="257"/>
      <c r="X138" s="257"/>
      <c r="Y138" s="257"/>
      <c r="Z138" s="256"/>
      <c r="AA138" s="256"/>
      <c r="AB138" s="256"/>
      <c r="AC138" s="256"/>
      <c r="AD138" s="256"/>
      <c r="AE138" s="256"/>
      <c r="AF138" s="256"/>
      <c r="AG138" s="256"/>
      <c r="AH138" s="256"/>
      <c r="AI138" s="256"/>
      <c r="AJ138" s="256"/>
      <c r="AK138" s="256"/>
    </row>
    <row r="139" spans="1:47" s="220" customFormat="1" ht="19.5">
      <c r="C139" s="311"/>
      <c r="D139" s="256"/>
      <c r="E139" s="256"/>
      <c r="F139" s="256"/>
      <c r="G139" s="256"/>
      <c r="H139" s="256"/>
      <c r="I139" s="256"/>
      <c r="J139" s="257"/>
      <c r="K139" s="257"/>
      <c r="L139" s="321"/>
      <c r="M139" s="257"/>
      <c r="N139" s="257"/>
      <c r="O139" s="257"/>
      <c r="P139" s="257"/>
      <c r="Q139" s="257"/>
      <c r="R139" s="257"/>
      <c r="S139" s="257"/>
      <c r="T139" s="257"/>
      <c r="U139" s="257"/>
      <c r="V139" s="257"/>
      <c r="W139" s="257"/>
      <c r="X139" s="257"/>
      <c r="Y139" s="257"/>
      <c r="Z139" s="256"/>
      <c r="AA139" s="256"/>
      <c r="AB139" s="256"/>
      <c r="AC139" s="256"/>
      <c r="AD139" s="256"/>
      <c r="AE139" s="256"/>
      <c r="AF139" s="256"/>
      <c r="AG139" s="256"/>
      <c r="AH139" s="256"/>
      <c r="AI139" s="256"/>
      <c r="AJ139" s="256"/>
      <c r="AK139" s="256"/>
    </row>
    <row r="140" spans="1:47" s="220" customFormat="1" ht="19.5">
      <c r="B140" s="258" t="s">
        <v>750</v>
      </c>
      <c r="C140" s="312"/>
      <c r="D140" s="259"/>
      <c r="E140" s="259"/>
      <c r="F140" s="259"/>
      <c r="G140" s="259"/>
      <c r="H140" s="259"/>
      <c r="I140" s="259"/>
      <c r="J140" s="260"/>
      <c r="K140" s="261"/>
      <c r="L140" s="322"/>
      <c r="M140" s="261"/>
      <c r="N140" s="261"/>
      <c r="O140" s="261"/>
      <c r="P140" s="258" t="s">
        <v>770</v>
      </c>
      <c r="Q140" s="261"/>
      <c r="R140" s="261"/>
      <c r="S140" s="261"/>
      <c r="T140" s="261"/>
      <c r="U140" s="261"/>
      <c r="V140" s="261"/>
      <c r="W140" s="261"/>
      <c r="X140" s="261"/>
      <c r="Y140" s="261"/>
      <c r="Z140" s="259"/>
      <c r="AA140" s="259"/>
      <c r="AB140" s="259"/>
      <c r="AC140" s="259"/>
      <c r="AD140" s="259"/>
      <c r="AE140" s="259"/>
      <c r="AF140" s="259"/>
      <c r="AG140" s="259"/>
      <c r="AH140" s="259"/>
      <c r="AK140" s="262"/>
    </row>
    <row r="141" spans="1:47" s="220" customFormat="1" ht="19.5">
      <c r="B141" s="258" t="s">
        <v>751</v>
      </c>
      <c r="C141" s="311"/>
      <c r="D141" s="256"/>
      <c r="E141" s="256"/>
      <c r="F141" s="256"/>
      <c r="G141" s="256"/>
      <c r="H141" s="256"/>
      <c r="I141" s="256"/>
      <c r="J141" s="257"/>
      <c r="K141" s="257"/>
      <c r="L141" s="321"/>
      <c r="M141" s="257"/>
      <c r="N141" s="257"/>
      <c r="O141" s="257"/>
      <c r="P141" s="258" t="s">
        <v>751</v>
      </c>
      <c r="Q141" s="261"/>
      <c r="R141" s="257"/>
      <c r="S141" s="257"/>
      <c r="T141" s="257"/>
      <c r="U141" s="257"/>
      <c r="V141" s="257"/>
      <c r="W141" s="257"/>
      <c r="X141" s="257"/>
      <c r="Y141" s="257"/>
      <c r="Z141" s="256"/>
      <c r="AA141" s="256"/>
      <c r="AB141" s="256"/>
      <c r="AC141" s="256"/>
      <c r="AD141" s="256"/>
      <c r="AE141" s="256"/>
      <c r="AF141" s="256"/>
      <c r="AG141" s="256"/>
      <c r="AH141" s="256"/>
      <c r="AI141" s="256"/>
      <c r="AJ141" s="256"/>
      <c r="AK141" s="256"/>
    </row>
    <row r="142" spans="1:47" s="220" customFormat="1" ht="19.5">
      <c r="C142" s="313"/>
      <c r="L142" s="323"/>
      <c r="U142" s="220" t="s">
        <v>457</v>
      </c>
      <c r="W142" s="263"/>
    </row>
    <row r="143" spans="1:47" s="220" customFormat="1" ht="19.5">
      <c r="C143" s="313"/>
      <c r="L143" s="323"/>
      <c r="W143" s="263"/>
    </row>
    <row r="144" spans="1:47" s="220" customFormat="1" ht="19.5">
      <c r="C144" s="313"/>
      <c r="L144" s="323"/>
      <c r="W144" s="263"/>
    </row>
    <row r="145" spans="3:47" s="220" customFormat="1" ht="19.5">
      <c r="C145" s="313"/>
      <c r="L145" s="323"/>
      <c r="W145" s="263"/>
    </row>
    <row r="146" spans="3:47" ht="19.5">
      <c r="C146" s="313"/>
      <c r="D146" s="220"/>
      <c r="E146" s="220"/>
      <c r="F146" s="220"/>
      <c r="G146" s="220"/>
      <c r="H146" s="220"/>
      <c r="I146" s="220"/>
      <c r="J146" s="220"/>
      <c r="K146" s="220"/>
      <c r="L146" s="323"/>
      <c r="M146" s="220"/>
      <c r="N146" s="220"/>
      <c r="O146" s="220"/>
      <c r="P146" s="220"/>
      <c r="Q146" s="220"/>
      <c r="R146" s="220"/>
      <c r="S146" s="220"/>
      <c r="T146" s="220"/>
      <c r="U146" s="220"/>
      <c r="V146" s="220"/>
      <c r="W146" s="263"/>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row>
    <row r="147" spans="3:47" ht="19.5">
      <c r="C147" s="313"/>
      <c r="D147" s="220"/>
      <c r="E147" s="220"/>
      <c r="F147" s="220"/>
      <c r="G147" s="220"/>
      <c r="H147" s="220"/>
      <c r="I147" s="220"/>
      <c r="J147" s="220"/>
      <c r="K147" s="220"/>
      <c r="L147" s="323"/>
      <c r="M147" s="220"/>
      <c r="N147" s="220"/>
      <c r="O147" s="220"/>
      <c r="P147" s="220"/>
      <c r="Q147" s="220"/>
      <c r="R147" s="220"/>
      <c r="S147" s="220"/>
      <c r="T147" s="220"/>
      <c r="U147" s="220"/>
      <c r="V147" s="220"/>
      <c r="W147" s="263"/>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row>
    <row r="148" spans="3:47" ht="19.5">
      <c r="C148" s="313"/>
      <c r="D148" s="220"/>
      <c r="E148" s="220"/>
      <c r="F148" s="220"/>
      <c r="G148" s="220"/>
      <c r="H148" s="220"/>
      <c r="I148" s="220"/>
      <c r="J148" s="220"/>
      <c r="K148" s="220"/>
      <c r="L148" s="323"/>
      <c r="M148" s="220"/>
      <c r="N148" s="220"/>
      <c r="O148" s="220"/>
      <c r="P148" s="220"/>
      <c r="Q148" s="220"/>
      <c r="R148" s="220"/>
      <c r="S148" s="220"/>
      <c r="T148" s="220"/>
      <c r="U148" s="220"/>
      <c r="V148" s="220"/>
      <c r="W148" s="263"/>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row>
    <row r="149" spans="3:47" ht="19.5">
      <c r="C149" s="313"/>
      <c r="D149" s="220"/>
      <c r="E149" s="220"/>
      <c r="F149" s="220"/>
      <c r="G149" s="220"/>
      <c r="H149" s="220"/>
      <c r="I149" s="220"/>
      <c r="J149" s="220"/>
      <c r="K149" s="220"/>
      <c r="L149" s="323"/>
      <c r="M149" s="220"/>
      <c r="N149" s="220"/>
      <c r="O149" s="220"/>
      <c r="P149" s="220"/>
      <c r="Q149" s="220"/>
      <c r="R149" s="220"/>
      <c r="S149" s="220"/>
      <c r="T149" s="220"/>
      <c r="U149" s="220"/>
      <c r="V149" s="220"/>
      <c r="W149" s="263"/>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row>
    <row r="150" spans="3:47" ht="19.5">
      <c r="C150" s="313"/>
      <c r="D150" s="220"/>
      <c r="E150" s="220"/>
      <c r="F150" s="220"/>
      <c r="G150" s="220"/>
      <c r="H150" s="220"/>
      <c r="I150" s="220"/>
      <c r="J150" s="220"/>
      <c r="K150" s="220"/>
      <c r="L150" s="323"/>
      <c r="M150" s="220"/>
      <c r="N150" s="220"/>
      <c r="O150" s="220"/>
      <c r="P150" s="220"/>
      <c r="Q150" s="220"/>
      <c r="R150" s="220"/>
      <c r="S150" s="220"/>
      <c r="T150" s="220"/>
      <c r="U150" s="220"/>
      <c r="V150" s="220"/>
      <c r="W150" s="263"/>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row>
    <row r="151" spans="3:47" ht="19.5">
      <c r="C151" s="313"/>
      <c r="D151" s="220"/>
      <c r="E151" s="220"/>
      <c r="F151" s="220"/>
      <c r="G151" s="220"/>
      <c r="H151" s="220"/>
      <c r="I151" s="220"/>
      <c r="J151" s="220"/>
      <c r="K151" s="220"/>
      <c r="L151" s="323"/>
      <c r="M151" s="220"/>
      <c r="N151" s="220"/>
      <c r="O151" s="220"/>
      <c r="P151" s="220"/>
      <c r="Q151" s="220"/>
      <c r="R151" s="220"/>
      <c r="S151" s="220"/>
      <c r="T151" s="220"/>
      <c r="U151" s="220"/>
      <c r="V151" s="220"/>
      <c r="W151" s="263"/>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row>
    <row r="152" spans="3:47" ht="19.5">
      <c r="C152" s="313"/>
      <c r="D152" s="220"/>
      <c r="E152" s="220"/>
      <c r="F152" s="220"/>
      <c r="G152" s="220"/>
      <c r="H152" s="220"/>
      <c r="I152" s="220"/>
      <c r="J152" s="220"/>
      <c r="K152" s="220"/>
      <c r="L152" s="323"/>
      <c r="M152" s="220"/>
      <c r="N152" s="220"/>
      <c r="O152" s="220"/>
      <c r="P152" s="220"/>
      <c r="Q152" s="220"/>
      <c r="R152" s="220"/>
      <c r="S152" s="220"/>
      <c r="T152" s="220"/>
      <c r="U152" s="220"/>
      <c r="V152" s="220"/>
      <c r="W152" s="263"/>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row>
    <row r="153" spans="3:47" ht="19.5">
      <c r="C153" s="313"/>
      <c r="D153" s="220"/>
      <c r="E153" s="220"/>
      <c r="F153" s="220"/>
      <c r="G153" s="220"/>
      <c r="H153" s="220"/>
      <c r="I153" s="220"/>
      <c r="J153" s="220"/>
      <c r="K153" s="220"/>
      <c r="L153" s="323"/>
      <c r="M153" s="220"/>
      <c r="N153" s="220"/>
      <c r="O153" s="220"/>
      <c r="P153" s="220"/>
      <c r="Q153" s="220"/>
      <c r="R153" s="220"/>
      <c r="S153" s="220"/>
      <c r="T153" s="220"/>
      <c r="U153" s="220"/>
      <c r="V153" s="220"/>
      <c r="W153" s="263"/>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row>
    <row r="154" spans="3:47" ht="19.5">
      <c r="C154" s="313"/>
      <c r="D154" s="220"/>
      <c r="E154" s="220"/>
      <c r="F154" s="220"/>
      <c r="G154" s="220"/>
      <c r="H154" s="220"/>
      <c r="I154" s="220"/>
      <c r="J154" s="220"/>
      <c r="K154" s="220"/>
      <c r="L154" s="323"/>
      <c r="M154" s="220"/>
      <c r="N154" s="220"/>
      <c r="O154" s="220"/>
      <c r="P154" s="220"/>
      <c r="Q154" s="220"/>
      <c r="R154" s="220"/>
      <c r="S154" s="220"/>
      <c r="T154" s="220"/>
      <c r="U154" s="220"/>
      <c r="V154" s="220"/>
      <c r="W154" s="263"/>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row>
    <row r="155" spans="3:47" ht="19.5">
      <c r="C155" s="313"/>
      <c r="D155" s="220"/>
      <c r="E155" s="220"/>
      <c r="F155" s="220"/>
      <c r="G155" s="220"/>
      <c r="H155" s="220"/>
      <c r="I155" s="220"/>
      <c r="J155" s="220"/>
      <c r="K155" s="220"/>
      <c r="L155" s="323"/>
      <c r="M155" s="220"/>
      <c r="N155" s="220"/>
      <c r="O155" s="220"/>
      <c r="P155" s="220"/>
      <c r="Q155" s="220"/>
      <c r="R155" s="220"/>
      <c r="S155" s="220"/>
      <c r="T155" s="220"/>
      <c r="U155" s="220"/>
      <c r="V155" s="220"/>
      <c r="W155" s="263"/>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row>
    <row r="156" spans="3:47" ht="19.5">
      <c r="C156" s="313"/>
      <c r="D156" s="220"/>
      <c r="E156" s="220"/>
      <c r="F156" s="220"/>
      <c r="G156" s="220"/>
      <c r="H156" s="220"/>
      <c r="I156" s="220"/>
      <c r="J156" s="220"/>
      <c r="K156" s="220"/>
      <c r="L156" s="323"/>
      <c r="M156" s="220"/>
      <c r="N156" s="220"/>
      <c r="O156" s="220"/>
      <c r="P156" s="220"/>
      <c r="Q156" s="220"/>
      <c r="R156" s="220"/>
      <c r="S156" s="220"/>
      <c r="T156" s="220"/>
      <c r="U156" s="220"/>
      <c r="V156" s="220"/>
      <c r="W156" s="263"/>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row>
    <row r="157" spans="3:47" ht="19.5">
      <c r="C157" s="313"/>
      <c r="D157" s="220"/>
      <c r="E157" s="220"/>
      <c r="F157" s="220"/>
      <c r="G157" s="220"/>
      <c r="H157" s="220"/>
      <c r="I157" s="220"/>
      <c r="J157" s="220"/>
      <c r="K157" s="220"/>
      <c r="L157" s="323"/>
      <c r="M157" s="220"/>
      <c r="N157" s="220"/>
      <c r="O157" s="220"/>
      <c r="P157" s="220"/>
      <c r="Q157" s="220"/>
      <c r="R157" s="220"/>
      <c r="S157" s="220"/>
      <c r="T157" s="220"/>
      <c r="U157" s="220"/>
      <c r="V157" s="220"/>
      <c r="W157" s="263"/>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row>
    <row r="158" spans="3:47" ht="19.5">
      <c r="C158" s="313"/>
      <c r="D158" s="220"/>
      <c r="E158" s="220"/>
      <c r="F158" s="220"/>
      <c r="G158" s="220"/>
      <c r="H158" s="220"/>
      <c r="I158" s="220"/>
      <c r="J158" s="220"/>
      <c r="K158" s="220"/>
      <c r="L158" s="323"/>
      <c r="M158" s="220"/>
      <c r="N158" s="220"/>
      <c r="O158" s="220"/>
      <c r="P158" s="220"/>
      <c r="Q158" s="220"/>
      <c r="R158" s="220"/>
      <c r="S158" s="220"/>
      <c r="T158" s="220"/>
      <c r="U158" s="220"/>
      <c r="V158" s="220"/>
      <c r="W158" s="263"/>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row>
    <row r="159" spans="3:47" ht="19.5">
      <c r="C159" s="313"/>
      <c r="D159" s="220"/>
      <c r="E159" s="220"/>
      <c r="F159" s="220"/>
      <c r="G159" s="220"/>
      <c r="H159" s="220"/>
      <c r="I159" s="220"/>
      <c r="J159" s="220"/>
      <c r="K159" s="220"/>
      <c r="L159" s="323"/>
      <c r="M159" s="220"/>
      <c r="N159" s="220"/>
      <c r="O159" s="220"/>
      <c r="P159" s="220"/>
      <c r="Q159" s="220"/>
      <c r="R159" s="220"/>
      <c r="S159" s="220"/>
      <c r="T159" s="220"/>
      <c r="U159" s="220"/>
      <c r="V159" s="220"/>
      <c r="W159" s="263"/>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row>
    <row r="160" spans="3:47" ht="19.5">
      <c r="C160" s="313"/>
      <c r="D160" s="220"/>
      <c r="E160" s="220"/>
      <c r="F160" s="220"/>
      <c r="G160" s="220"/>
      <c r="H160" s="220"/>
      <c r="I160" s="220"/>
      <c r="J160" s="220"/>
      <c r="K160" s="220"/>
      <c r="L160" s="323"/>
      <c r="M160" s="220"/>
      <c r="N160" s="220"/>
      <c r="O160" s="220"/>
      <c r="P160" s="220"/>
      <c r="Q160" s="220"/>
      <c r="R160" s="220"/>
      <c r="S160" s="220"/>
      <c r="T160" s="220"/>
      <c r="U160" s="220"/>
      <c r="V160" s="220"/>
      <c r="W160" s="263"/>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row>
    <row r="161" spans="3:47" ht="19.5">
      <c r="C161" s="313"/>
      <c r="D161" s="220"/>
      <c r="E161" s="220"/>
      <c r="F161" s="220"/>
      <c r="G161" s="220"/>
      <c r="H161" s="220"/>
      <c r="I161" s="220"/>
      <c r="J161" s="220"/>
      <c r="K161" s="220"/>
      <c r="L161" s="323"/>
      <c r="M161" s="220"/>
      <c r="N161" s="220"/>
      <c r="O161" s="220"/>
      <c r="P161" s="220"/>
      <c r="Q161" s="220"/>
      <c r="R161" s="220"/>
      <c r="S161" s="220"/>
      <c r="T161" s="220"/>
      <c r="U161" s="220"/>
      <c r="V161" s="220"/>
      <c r="W161" s="263"/>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row>
    <row r="162" spans="3:47" ht="19.5">
      <c r="C162" s="313"/>
      <c r="D162" s="220"/>
      <c r="E162" s="220"/>
      <c r="F162" s="220"/>
      <c r="G162" s="220"/>
      <c r="H162" s="220"/>
      <c r="I162" s="220"/>
      <c r="J162" s="220"/>
      <c r="K162" s="220"/>
      <c r="L162" s="323"/>
      <c r="M162" s="220"/>
      <c r="N162" s="220"/>
      <c r="O162" s="220"/>
      <c r="P162" s="220"/>
      <c r="Q162" s="220"/>
      <c r="R162" s="220"/>
      <c r="S162" s="220"/>
      <c r="T162" s="220"/>
      <c r="U162" s="220"/>
      <c r="V162" s="220"/>
      <c r="W162" s="263"/>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row>
    <row r="163" spans="3:47" ht="19.5">
      <c r="C163" s="313"/>
      <c r="D163" s="220"/>
      <c r="E163" s="220"/>
      <c r="F163" s="220"/>
      <c r="G163" s="220"/>
      <c r="H163" s="220"/>
      <c r="I163" s="220"/>
      <c r="J163" s="220"/>
      <c r="K163" s="220"/>
      <c r="L163" s="323"/>
      <c r="M163" s="220"/>
      <c r="N163" s="220"/>
      <c r="O163" s="220"/>
      <c r="P163" s="220"/>
      <c r="Q163" s="220"/>
      <c r="R163" s="220"/>
      <c r="S163" s="220"/>
      <c r="T163" s="220"/>
      <c r="U163" s="220"/>
      <c r="V163" s="220"/>
      <c r="W163" s="263"/>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row>
    <row r="164" spans="3:47" ht="19.5">
      <c r="C164" s="313"/>
      <c r="D164" s="220"/>
      <c r="E164" s="220"/>
      <c r="F164" s="220"/>
      <c r="G164" s="220"/>
      <c r="H164" s="220"/>
      <c r="I164" s="220"/>
      <c r="J164" s="220"/>
      <c r="K164" s="220"/>
      <c r="L164" s="323"/>
      <c r="M164" s="220"/>
      <c r="N164" s="220"/>
      <c r="O164" s="220"/>
      <c r="P164" s="220"/>
      <c r="Q164" s="220"/>
      <c r="R164" s="220"/>
      <c r="S164" s="220"/>
      <c r="T164" s="220"/>
      <c r="U164" s="220"/>
      <c r="V164" s="220"/>
      <c r="W164" s="263"/>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row>
    <row r="165" spans="3:47" ht="19.5">
      <c r="C165" s="313"/>
      <c r="D165" s="220"/>
      <c r="E165" s="220"/>
      <c r="F165" s="220"/>
      <c r="G165" s="220"/>
      <c r="H165" s="220"/>
      <c r="I165" s="220"/>
      <c r="J165" s="220"/>
      <c r="K165" s="220"/>
      <c r="L165" s="323"/>
      <c r="M165" s="220"/>
      <c r="N165" s="220"/>
      <c r="O165" s="220"/>
      <c r="P165" s="220"/>
      <c r="Q165" s="220"/>
      <c r="R165" s="220"/>
      <c r="S165" s="220"/>
      <c r="T165" s="220"/>
      <c r="U165" s="220"/>
      <c r="V165" s="220"/>
      <c r="W165" s="263"/>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row>
  </sheetData>
  <mergeCells count="23">
    <mergeCell ref="A19:A20"/>
    <mergeCell ref="B19:B20"/>
    <mergeCell ref="C19:C20"/>
    <mergeCell ref="D19:F19"/>
    <mergeCell ref="G19:I19"/>
    <mergeCell ref="A1:AK1"/>
    <mergeCell ref="A2:AK2"/>
    <mergeCell ref="A3:AK3"/>
    <mergeCell ref="A4:AK4"/>
    <mergeCell ref="AG6:AH6"/>
    <mergeCell ref="AK19:AK20"/>
    <mergeCell ref="AK22:AK59"/>
    <mergeCell ref="J19:L19"/>
    <mergeCell ref="M19:O19"/>
    <mergeCell ref="P19:R19"/>
    <mergeCell ref="S19:T19"/>
    <mergeCell ref="U19:W19"/>
    <mergeCell ref="X19:Z19"/>
    <mergeCell ref="K137:L137"/>
    <mergeCell ref="AA19:AC19"/>
    <mergeCell ref="AD19:AF19"/>
    <mergeCell ref="AG19:AH19"/>
    <mergeCell ref="AI19:AJ19"/>
  </mergeCells>
  <pageMargins left="0.4" right="0.2" top="0.25" bottom="0.45" header="0.2" footer="0.3"/>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AV166"/>
  <sheetViews>
    <sheetView view="pageBreakPreview" zoomScale="95" zoomScaleNormal="70" zoomScaleSheetLayoutView="95" workbookViewId="0">
      <selection activeCell="B48" sqref="B48"/>
    </sheetView>
  </sheetViews>
  <sheetFormatPr defaultRowHeight="12.75"/>
  <cols>
    <col min="1" max="1" width="11.28515625" customWidth="1"/>
    <col min="2" max="2" width="33.85546875" customWidth="1"/>
    <col min="3" max="3" width="10.140625" style="314" customWidth="1"/>
    <col min="4" max="9" width="9.7109375" hidden="1" customWidth="1"/>
    <col min="10" max="11" width="9.7109375" customWidth="1"/>
    <col min="12" max="12" width="9.7109375" style="324" customWidth="1"/>
    <col min="13" max="13" width="11.28515625" style="324" customWidth="1"/>
    <col min="14" max="21" width="9.7109375" customWidth="1"/>
    <col min="22" max="23" width="9.7109375" hidden="1" customWidth="1"/>
    <col min="24" max="24" width="9.7109375" style="71" hidden="1" customWidth="1"/>
    <col min="25" max="37" width="9.7109375" hidden="1" customWidth="1"/>
    <col min="38" max="38" width="17.7109375" customWidth="1"/>
  </cols>
  <sheetData>
    <row r="1" spans="1:38"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row>
    <row r="2" spans="1:38" s="220" customFormat="1" ht="32.450000000000003" hidden="1"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row>
    <row r="3" spans="1:38" s="220" customFormat="1" ht="32.450000000000003" hidden="1"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row>
    <row r="4" spans="1:38" s="220" customFormat="1" ht="27.6" hidden="1" customHeight="1">
      <c r="A4" s="613" t="s">
        <v>819</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row>
    <row r="5" spans="1:38" s="220" customFormat="1" ht="28.5" hidden="1">
      <c r="A5" s="265"/>
      <c r="B5" s="265"/>
      <c r="C5" s="265"/>
      <c r="D5" s="265"/>
      <c r="E5" s="265"/>
      <c r="F5" s="265"/>
      <c r="G5" s="265"/>
      <c r="H5" s="265"/>
      <c r="I5" s="265"/>
      <c r="J5" s="265"/>
      <c r="K5" s="265"/>
      <c r="L5" s="318"/>
      <c r="M5" s="318"/>
      <c r="N5" s="265"/>
      <c r="O5" s="263"/>
      <c r="P5" s="263"/>
      <c r="Q5" s="265"/>
      <c r="R5" s="265"/>
      <c r="S5" s="264"/>
      <c r="T5" s="264"/>
      <c r="U5" s="264"/>
      <c r="V5" s="264"/>
      <c r="W5" s="264"/>
      <c r="X5" s="264"/>
      <c r="Y5" s="264"/>
      <c r="Z5" s="264"/>
      <c r="AA5" s="264"/>
      <c r="AB5" s="264"/>
      <c r="AC5" s="264"/>
      <c r="AD5" s="264"/>
      <c r="AE5" s="264"/>
      <c r="AF5" s="264"/>
      <c r="AG5" s="264"/>
      <c r="AH5" s="265"/>
      <c r="AI5" s="265"/>
      <c r="AJ5" s="265"/>
      <c r="AK5" s="265"/>
      <c r="AL5" s="265"/>
    </row>
    <row r="6" spans="1:38" s="220" customFormat="1" ht="24" hidden="1">
      <c r="A6" s="266" t="s">
        <v>771</v>
      </c>
      <c r="B6" s="266"/>
      <c r="C6" s="309"/>
      <c r="D6" s="266"/>
      <c r="E6" s="266"/>
      <c r="F6" s="266"/>
      <c r="G6" s="266"/>
      <c r="H6" s="266"/>
      <c r="I6" s="266"/>
      <c r="J6" s="267"/>
      <c r="K6" s="267"/>
      <c r="L6" s="319"/>
      <c r="M6" s="319"/>
      <c r="N6" s="263"/>
      <c r="O6" s="263"/>
      <c r="P6" s="263"/>
      <c r="Q6" s="263"/>
      <c r="R6" s="263"/>
      <c r="S6" s="263"/>
      <c r="T6" s="263"/>
      <c r="U6" s="263"/>
      <c r="V6" s="266" t="s">
        <v>785</v>
      </c>
      <c r="W6" s="263"/>
      <c r="X6" s="267"/>
      <c r="Y6" s="268">
        <f>'एकिकृत बिवरण'!$J$13/100000-331.31</f>
        <v>600.97694000000001</v>
      </c>
      <c r="Z6" s="269"/>
      <c r="AA6" s="270">
        <v>331.31</v>
      </c>
      <c r="AB6" s="270"/>
      <c r="AC6" s="270"/>
      <c r="AD6" s="270"/>
      <c r="AE6" s="270"/>
      <c r="AF6" s="270"/>
      <c r="AG6" s="270"/>
      <c r="AH6" s="614">
        <f>Y6+AA6</f>
        <v>932.28693999999996</v>
      </c>
      <c r="AI6" s="614"/>
      <c r="AJ6" s="266"/>
      <c r="AK6" s="266"/>
    </row>
    <row r="7" spans="1:38" s="220" customFormat="1" ht="24" hidden="1">
      <c r="A7" s="271" t="s">
        <v>772</v>
      </c>
      <c r="B7" s="266"/>
      <c r="C7" s="309"/>
      <c r="D7" s="266"/>
      <c r="E7" s="266"/>
      <c r="F7" s="266"/>
      <c r="G7" s="266"/>
      <c r="H7" s="266"/>
      <c r="I7" s="266"/>
      <c r="J7" s="267"/>
      <c r="K7" s="267"/>
      <c r="L7" s="319"/>
      <c r="M7" s="319"/>
      <c r="N7" s="263"/>
      <c r="O7" s="263"/>
      <c r="P7" s="263"/>
      <c r="Q7" s="267"/>
      <c r="R7" s="267"/>
      <c r="S7" s="267"/>
      <c r="T7" s="267"/>
      <c r="U7" s="267"/>
      <c r="V7" s="273" t="s">
        <v>779</v>
      </c>
      <c r="W7" s="267"/>
      <c r="X7" s="267"/>
      <c r="Y7" s="267"/>
      <c r="Z7" s="267"/>
      <c r="AA7" s="266"/>
      <c r="AB7" s="266"/>
      <c r="AC7" s="266"/>
      <c r="AD7" s="266"/>
      <c r="AE7" s="266"/>
      <c r="AF7" s="266"/>
      <c r="AG7" s="266"/>
      <c r="AH7" s="266"/>
      <c r="AI7" s="266"/>
      <c r="AJ7" s="266"/>
      <c r="AK7" s="266"/>
    </row>
    <row r="8" spans="1:38" s="220" customFormat="1" ht="24" hidden="1">
      <c r="A8" s="266" t="s">
        <v>773</v>
      </c>
      <c r="B8" s="266"/>
      <c r="C8" s="309"/>
      <c r="D8" s="266"/>
      <c r="E8" s="266"/>
      <c r="F8" s="266"/>
      <c r="G8" s="266"/>
      <c r="H8" s="266"/>
      <c r="I8" s="266"/>
      <c r="J8" s="267"/>
      <c r="K8" s="267"/>
      <c r="L8" s="319"/>
      <c r="M8" s="319"/>
      <c r="N8" s="263"/>
      <c r="O8" s="263"/>
      <c r="P8" s="263"/>
      <c r="Q8" s="263"/>
      <c r="R8" s="263"/>
      <c r="V8" s="267" t="s">
        <v>786</v>
      </c>
      <c r="W8" s="263"/>
      <c r="X8" s="263"/>
      <c r="Y8" s="267"/>
      <c r="Z8" s="267"/>
      <c r="AA8" s="266"/>
      <c r="AB8" s="266"/>
      <c r="AC8" s="266"/>
      <c r="AD8" s="266"/>
      <c r="AE8" s="266"/>
      <c r="AF8" s="266"/>
      <c r="AG8" s="266"/>
      <c r="AH8" s="266"/>
      <c r="AI8" s="266"/>
      <c r="AJ8" s="266"/>
      <c r="AK8" s="266"/>
    </row>
    <row r="9" spans="1:38" s="220" customFormat="1" ht="24" hidden="1">
      <c r="A9" s="266" t="s">
        <v>774</v>
      </c>
      <c r="B9" s="266"/>
      <c r="C9" s="309"/>
      <c r="D9" s="266"/>
      <c r="E9" s="266"/>
      <c r="F9" s="266"/>
      <c r="G9" s="266"/>
      <c r="H9" s="266"/>
      <c r="I9" s="266"/>
      <c r="J9" s="267"/>
      <c r="K9" s="267"/>
      <c r="L9" s="319"/>
      <c r="M9" s="319"/>
      <c r="N9" s="263"/>
      <c r="O9" s="267"/>
      <c r="P9" s="263"/>
      <c r="Q9" s="267"/>
      <c r="R9" s="267"/>
      <c r="S9" s="267"/>
      <c r="T9" s="267"/>
      <c r="U9" s="267"/>
      <c r="V9" s="267"/>
      <c r="W9" s="267"/>
      <c r="X9" s="267"/>
      <c r="Y9" s="267"/>
      <c r="Z9" s="267"/>
      <c r="AA9" s="266"/>
      <c r="AB9" s="266"/>
      <c r="AC9" s="266"/>
      <c r="AD9" s="266"/>
      <c r="AE9" s="266"/>
      <c r="AF9" s="266"/>
      <c r="AG9" s="266"/>
      <c r="AH9" s="266"/>
      <c r="AI9" s="266"/>
      <c r="AJ9" s="266"/>
      <c r="AK9" s="266"/>
    </row>
    <row r="10" spans="1:38" s="220" customFormat="1" ht="24" hidden="1">
      <c r="A10" s="266" t="s">
        <v>775</v>
      </c>
      <c r="B10" s="266"/>
      <c r="C10" s="309"/>
      <c r="D10" s="266"/>
      <c r="E10" s="266"/>
      <c r="F10" s="266"/>
      <c r="G10" s="266"/>
      <c r="H10" s="266"/>
      <c r="I10" s="266"/>
      <c r="J10" s="267"/>
      <c r="K10" s="267"/>
      <c r="L10" s="319"/>
      <c r="M10" s="319"/>
      <c r="N10" s="263"/>
      <c r="O10" s="263"/>
      <c r="P10" s="263"/>
      <c r="Q10" s="263"/>
      <c r="R10" s="263"/>
      <c r="S10" s="267"/>
      <c r="T10" s="267"/>
      <c r="U10" s="267"/>
      <c r="W10" s="267" t="s">
        <v>793</v>
      </c>
      <c r="Y10" s="267"/>
      <c r="Z10" s="267"/>
      <c r="AA10" s="266"/>
      <c r="AB10" s="266"/>
      <c r="AC10" s="266"/>
      <c r="AD10" s="266"/>
      <c r="AE10" s="266"/>
      <c r="AF10" s="266"/>
      <c r="AG10" s="266"/>
      <c r="AH10" s="266"/>
      <c r="AI10" s="266"/>
      <c r="AJ10" s="266"/>
      <c r="AK10" s="266"/>
    </row>
    <row r="11" spans="1:38" s="220" customFormat="1" ht="24" hidden="1">
      <c r="A11" s="266" t="s">
        <v>776</v>
      </c>
      <c r="B11" s="266"/>
      <c r="C11" s="309"/>
      <c r="D11" s="266"/>
      <c r="E11" s="266"/>
      <c r="F11" s="266"/>
      <c r="G11" s="266"/>
      <c r="H11" s="266"/>
      <c r="I11" s="266"/>
      <c r="J11" s="267"/>
      <c r="K11" s="267"/>
      <c r="L11" s="319"/>
      <c r="M11" s="319"/>
      <c r="N11" s="263"/>
      <c r="O11" s="267"/>
      <c r="P11" s="263"/>
      <c r="Q11" s="267"/>
      <c r="R11" s="267"/>
      <c r="S11" s="267"/>
      <c r="T11" s="267"/>
      <c r="U11" s="267"/>
      <c r="V11" s="267"/>
      <c r="W11" s="267"/>
      <c r="X11" s="267"/>
      <c r="Y11" s="267"/>
      <c r="Z11" s="267"/>
      <c r="AA11" s="266"/>
      <c r="AB11" s="266"/>
      <c r="AC11" s="266"/>
      <c r="AD11" s="266"/>
      <c r="AE11" s="266"/>
      <c r="AF11" s="266"/>
      <c r="AG11" s="266"/>
      <c r="AH11" s="266"/>
      <c r="AI11" s="266"/>
      <c r="AJ11" s="266"/>
      <c r="AK11" s="266"/>
    </row>
    <row r="12" spans="1:38" s="220" customFormat="1" ht="24" hidden="1">
      <c r="A12" s="266" t="s">
        <v>777</v>
      </c>
      <c r="B12" s="266"/>
      <c r="C12" s="309"/>
      <c r="D12" s="266"/>
      <c r="E12" s="266"/>
      <c r="F12" s="266"/>
      <c r="G12" s="266"/>
      <c r="H12" s="266"/>
      <c r="I12" s="266"/>
      <c r="J12" s="267"/>
      <c r="K12" s="267"/>
      <c r="L12" s="319"/>
      <c r="M12" s="319"/>
      <c r="N12" s="263"/>
      <c r="O12" s="263"/>
      <c r="P12" s="263"/>
      <c r="Q12" s="263"/>
      <c r="R12" s="263"/>
      <c r="S12" s="267"/>
      <c r="T12" s="267"/>
      <c r="U12" s="267"/>
      <c r="V12" s="267" t="s">
        <v>787</v>
      </c>
      <c r="W12" s="263"/>
      <c r="X12" s="267"/>
      <c r="Y12" s="267"/>
      <c r="Z12" s="267"/>
      <c r="AA12" s="266"/>
      <c r="AB12" s="266"/>
      <c r="AC12" s="266"/>
      <c r="AD12" s="266"/>
      <c r="AE12" s="266"/>
      <c r="AF12" s="266"/>
      <c r="AG12" s="266"/>
      <c r="AH12" s="266"/>
      <c r="AI12" s="266"/>
      <c r="AJ12" s="266"/>
      <c r="AK12" s="266"/>
    </row>
    <row r="13" spans="1:38" s="220" customFormat="1" ht="24" hidden="1">
      <c r="A13" s="266" t="s">
        <v>778</v>
      </c>
      <c r="B13" s="266"/>
      <c r="C13" s="310"/>
      <c r="D13" s="272"/>
      <c r="E13" s="272"/>
      <c r="F13" s="272"/>
      <c r="G13" s="272"/>
      <c r="H13" s="272"/>
      <c r="I13" s="272"/>
      <c r="J13" s="267"/>
      <c r="K13" s="267"/>
      <c r="L13" s="319"/>
      <c r="M13" s="319"/>
      <c r="N13" s="263"/>
      <c r="O13" s="263"/>
      <c r="P13" s="263"/>
      <c r="Q13" s="263"/>
      <c r="R13" s="263"/>
      <c r="S13" s="267"/>
      <c r="T13" s="267"/>
      <c r="U13" s="267"/>
      <c r="V13" s="267" t="s">
        <v>788</v>
      </c>
      <c r="W13" s="263"/>
      <c r="X13" s="267"/>
      <c r="Y13" s="267"/>
      <c r="Z13" s="267"/>
      <c r="AA13" s="266"/>
      <c r="AB13" s="266"/>
      <c r="AC13" s="266"/>
      <c r="AD13" s="266"/>
      <c r="AE13" s="266"/>
      <c r="AF13" s="266"/>
      <c r="AG13" s="266"/>
      <c r="AH13" s="266"/>
      <c r="AI13" s="266"/>
      <c r="AJ13" s="266"/>
      <c r="AK13" s="266"/>
    </row>
    <row r="14" spans="1:38" s="220" customFormat="1" ht="24" hidden="1">
      <c r="A14" s="273" t="s">
        <v>779</v>
      </c>
      <c r="B14" s="266"/>
      <c r="C14" s="310"/>
      <c r="D14" s="272"/>
      <c r="E14" s="272"/>
      <c r="F14" s="272"/>
      <c r="G14" s="272"/>
      <c r="H14" s="272"/>
      <c r="I14" s="272"/>
      <c r="J14" s="267"/>
      <c r="K14" s="267"/>
      <c r="L14" s="319"/>
      <c r="M14" s="319"/>
      <c r="N14" s="263"/>
      <c r="O14" s="263"/>
      <c r="P14" s="263"/>
      <c r="Q14" s="267"/>
      <c r="R14" s="267"/>
      <c r="S14" s="267"/>
      <c r="T14" s="267"/>
      <c r="U14" s="267"/>
      <c r="V14" s="267" t="s">
        <v>789</v>
      </c>
      <c r="W14" s="267"/>
      <c r="X14" s="267"/>
      <c r="Y14" s="267"/>
      <c r="Z14" s="267"/>
      <c r="AA14" s="266"/>
      <c r="AB14" s="266"/>
      <c r="AC14" s="266"/>
      <c r="AD14" s="266"/>
      <c r="AE14" s="266"/>
      <c r="AF14" s="266"/>
      <c r="AG14" s="266"/>
      <c r="AH14" s="266"/>
      <c r="AI14" s="266"/>
      <c r="AJ14" s="266"/>
      <c r="AL14" s="274" t="e">
        <f>Y6/#REF!*100</f>
        <v>#REF!</v>
      </c>
    </row>
    <row r="15" spans="1:38" s="220" customFormat="1" ht="24" hidden="1">
      <c r="A15" s="266" t="s">
        <v>780</v>
      </c>
      <c r="B15" s="266"/>
      <c r="C15" s="309"/>
      <c r="D15" s="266"/>
      <c r="E15" s="266"/>
      <c r="F15" s="266"/>
      <c r="G15" s="266"/>
      <c r="H15" s="266"/>
      <c r="I15" s="266"/>
      <c r="J15" s="267"/>
      <c r="K15" s="267"/>
      <c r="L15" s="319"/>
      <c r="M15" s="319"/>
      <c r="N15" s="263"/>
      <c r="O15" s="263"/>
      <c r="P15" s="263"/>
      <c r="Q15" s="267"/>
      <c r="R15" s="267"/>
      <c r="S15" s="267"/>
      <c r="T15" s="267"/>
      <c r="U15" s="267"/>
      <c r="V15" s="267" t="s">
        <v>790</v>
      </c>
      <c r="W15" s="267"/>
      <c r="X15" s="267"/>
      <c r="Y15" s="267"/>
      <c r="Z15" s="267"/>
      <c r="AA15" s="266"/>
      <c r="AB15" s="266"/>
      <c r="AC15" s="266"/>
      <c r="AD15" s="266"/>
      <c r="AE15" s="266"/>
      <c r="AF15" s="266"/>
      <c r="AG15" s="266"/>
      <c r="AH15" s="266"/>
      <c r="AI15" s="266"/>
      <c r="AJ15" s="266"/>
      <c r="AL15" s="275">
        <f>AH6/L136*100</f>
        <v>66.119641134751788</v>
      </c>
    </row>
    <row r="16" spans="1:38" s="220" customFormat="1" ht="24" hidden="1">
      <c r="A16" s="266" t="s">
        <v>781</v>
      </c>
      <c r="B16" s="266"/>
      <c r="C16" s="309"/>
      <c r="D16" s="266"/>
      <c r="E16" s="266"/>
      <c r="F16" s="266"/>
      <c r="G16" s="266"/>
      <c r="H16" s="266"/>
      <c r="I16" s="266"/>
      <c r="J16" s="267"/>
      <c r="K16" s="267"/>
      <c r="L16" s="319"/>
      <c r="M16" s="319"/>
      <c r="N16" s="263"/>
      <c r="O16" s="263"/>
      <c r="P16" s="263"/>
      <c r="Q16" s="267"/>
      <c r="R16" s="267"/>
      <c r="S16" s="267"/>
      <c r="T16" s="267"/>
      <c r="U16" s="267"/>
      <c r="V16" s="267" t="s">
        <v>791</v>
      </c>
      <c r="W16" s="267"/>
      <c r="X16" s="267"/>
      <c r="Y16" s="267"/>
      <c r="Z16" s="267"/>
      <c r="AA16" s="266"/>
      <c r="AB16" s="266"/>
      <c r="AC16" s="266"/>
      <c r="AD16" s="266"/>
      <c r="AE16" s="266"/>
      <c r="AF16" s="266"/>
      <c r="AG16" s="266"/>
      <c r="AH16" s="266"/>
      <c r="AI16" s="266"/>
      <c r="AJ16" s="266"/>
      <c r="AK16" s="266"/>
      <c r="AL16" s="266"/>
    </row>
    <row r="17" spans="1:48" s="220" customFormat="1" ht="24" hidden="1">
      <c r="A17" s="266" t="s">
        <v>782</v>
      </c>
      <c r="B17" s="266"/>
      <c r="C17" s="309"/>
      <c r="D17" s="266"/>
      <c r="E17" s="266"/>
      <c r="F17" s="266"/>
      <c r="G17" s="266"/>
      <c r="H17" s="266"/>
      <c r="I17" s="266"/>
      <c r="J17" s="267"/>
      <c r="K17" s="267"/>
      <c r="L17" s="319"/>
      <c r="M17" s="319"/>
      <c r="N17" s="263"/>
      <c r="O17" s="263"/>
      <c r="P17" s="263"/>
      <c r="Q17" s="267"/>
      <c r="R17" s="267"/>
      <c r="S17" s="267"/>
      <c r="T17" s="267"/>
      <c r="U17" s="267"/>
      <c r="V17" s="267" t="s">
        <v>792</v>
      </c>
      <c r="W17" s="267"/>
      <c r="X17" s="267"/>
      <c r="Y17" s="267"/>
      <c r="Z17" s="267"/>
      <c r="AA17" s="266"/>
      <c r="AB17" s="266"/>
      <c r="AC17" s="266"/>
      <c r="AD17" s="266"/>
      <c r="AE17" s="266"/>
      <c r="AF17" s="266"/>
      <c r="AG17" s="266"/>
      <c r="AH17" s="266"/>
      <c r="AI17" s="266"/>
      <c r="AJ17" s="266"/>
      <c r="AL17" s="276">
        <f>AI136</f>
        <v>3.410283687943263</v>
      </c>
    </row>
    <row r="18" spans="1:48" s="220" customFormat="1" ht="24" hidden="1">
      <c r="A18" s="266" t="s">
        <v>806</v>
      </c>
      <c r="B18" s="266"/>
      <c r="C18" s="309"/>
      <c r="D18" s="266"/>
      <c r="E18" s="266"/>
      <c r="F18" s="266"/>
      <c r="G18" s="266"/>
      <c r="H18" s="266"/>
      <c r="I18" s="266"/>
      <c r="J18" s="267"/>
      <c r="K18" s="267"/>
      <c r="L18" s="319"/>
      <c r="M18" s="319"/>
      <c r="N18" s="267"/>
      <c r="O18" s="267"/>
      <c r="P18" s="267"/>
      <c r="Q18" s="267"/>
      <c r="R18" s="267"/>
      <c r="S18" s="267"/>
      <c r="T18" s="344" t="s">
        <v>811</v>
      </c>
      <c r="U18" s="345">
        <f>T135</f>
        <v>683.29</v>
      </c>
      <c r="V18" s="267"/>
      <c r="W18" s="267"/>
      <c r="X18" s="267"/>
      <c r="Y18" s="267"/>
      <c r="Z18" s="267"/>
      <c r="AA18" s="266"/>
      <c r="AB18" s="266"/>
      <c r="AC18" s="266"/>
      <c r="AD18" s="266"/>
      <c r="AE18" s="266"/>
      <c r="AF18" s="266"/>
      <c r="AG18" s="266"/>
      <c r="AH18" s="266"/>
      <c r="AI18" s="266"/>
      <c r="AJ18" s="330" t="s">
        <v>802</v>
      </c>
      <c r="AK18" s="266"/>
    </row>
    <row r="19" spans="1:48" s="220" customFormat="1" ht="45.6" hidden="1" customHeight="1">
      <c r="A19" s="621" t="s">
        <v>752</v>
      </c>
      <c r="B19" s="621" t="s">
        <v>753</v>
      </c>
      <c r="C19" s="611" t="s">
        <v>754</v>
      </c>
      <c r="D19" s="611" t="s">
        <v>755</v>
      </c>
      <c r="E19" s="611"/>
      <c r="F19" s="611"/>
      <c r="G19" s="611" t="s">
        <v>759</v>
      </c>
      <c r="H19" s="611"/>
      <c r="I19" s="611"/>
      <c r="J19" s="622" t="s">
        <v>760</v>
      </c>
      <c r="K19" s="623"/>
      <c r="L19" s="623"/>
      <c r="M19" s="624"/>
      <c r="N19" s="611" t="s">
        <v>815</v>
      </c>
      <c r="O19" s="626"/>
      <c r="P19" s="627"/>
      <c r="Q19" s="611" t="s">
        <v>816</v>
      </c>
      <c r="R19" s="611"/>
      <c r="S19" s="611"/>
      <c r="T19" s="611" t="s">
        <v>817</v>
      </c>
      <c r="U19" s="611"/>
      <c r="V19" s="621" t="s">
        <v>764</v>
      </c>
      <c r="W19" s="621"/>
      <c r="X19" s="621"/>
      <c r="Y19" s="611" t="s">
        <v>765</v>
      </c>
      <c r="Z19" s="611"/>
      <c r="AA19" s="611"/>
      <c r="AB19" s="611" t="s">
        <v>767</v>
      </c>
      <c r="AC19" s="611"/>
      <c r="AD19" s="611"/>
      <c r="AE19" s="611" t="s">
        <v>766</v>
      </c>
      <c r="AF19" s="611"/>
      <c r="AG19" s="611"/>
      <c r="AH19" s="618" t="s">
        <v>768</v>
      </c>
      <c r="AI19" s="618"/>
      <c r="AJ19" s="618" t="s">
        <v>769</v>
      </c>
      <c r="AK19" s="618"/>
      <c r="AL19" s="621" t="s">
        <v>497</v>
      </c>
    </row>
    <row r="20" spans="1:48" s="220" customFormat="1" ht="28.5" hidden="1" customHeight="1">
      <c r="A20" s="621"/>
      <c r="B20" s="621"/>
      <c r="C20" s="611"/>
      <c r="D20" s="349" t="s">
        <v>761</v>
      </c>
      <c r="E20" s="349" t="s">
        <v>757</v>
      </c>
      <c r="F20" s="349" t="s">
        <v>758</v>
      </c>
      <c r="G20" s="349" t="s">
        <v>761</v>
      </c>
      <c r="H20" s="349" t="s">
        <v>757</v>
      </c>
      <c r="I20" s="349" t="s">
        <v>758</v>
      </c>
      <c r="J20" s="349" t="s">
        <v>761</v>
      </c>
      <c r="K20" s="349" t="s">
        <v>757</v>
      </c>
      <c r="L20" s="335" t="s">
        <v>758</v>
      </c>
      <c r="M20" s="335" t="s">
        <v>814</v>
      </c>
      <c r="N20" s="349" t="s">
        <v>761</v>
      </c>
      <c r="O20" s="349" t="s">
        <v>757</v>
      </c>
      <c r="P20" s="349" t="s">
        <v>758</v>
      </c>
      <c r="Q20" s="349" t="s">
        <v>761</v>
      </c>
      <c r="R20" s="349" t="s">
        <v>757</v>
      </c>
      <c r="S20" s="349" t="s">
        <v>805</v>
      </c>
      <c r="T20" s="349" t="s">
        <v>804</v>
      </c>
      <c r="U20" s="349" t="s">
        <v>805</v>
      </c>
      <c r="V20" s="349" t="s">
        <v>761</v>
      </c>
      <c r="W20" s="349" t="s">
        <v>757</v>
      </c>
      <c r="X20" s="349" t="s">
        <v>758</v>
      </c>
      <c r="Y20" s="349" t="s">
        <v>761</v>
      </c>
      <c r="Z20" s="349" t="s">
        <v>757</v>
      </c>
      <c r="AA20" s="349" t="s">
        <v>758</v>
      </c>
      <c r="AB20" s="349"/>
      <c r="AC20" s="349"/>
      <c r="AD20" s="349"/>
      <c r="AE20" s="349"/>
      <c r="AF20" s="349"/>
      <c r="AG20" s="349"/>
      <c r="AH20" s="336"/>
      <c r="AI20" s="336"/>
      <c r="AJ20" s="348"/>
      <c r="AK20" s="337"/>
      <c r="AL20" s="621"/>
    </row>
    <row r="21" spans="1:48" s="220" customFormat="1" ht="19.5" hidden="1">
      <c r="A21" s="278">
        <v>1</v>
      </c>
      <c r="B21" s="278">
        <v>2</v>
      </c>
      <c r="C21" s="278">
        <v>3</v>
      </c>
      <c r="D21" s="278">
        <v>4</v>
      </c>
      <c r="E21" s="278">
        <v>5</v>
      </c>
      <c r="F21" s="278">
        <v>6</v>
      </c>
      <c r="G21" s="278">
        <v>7</v>
      </c>
      <c r="H21" s="278">
        <v>8</v>
      </c>
      <c r="I21" s="278">
        <v>9</v>
      </c>
      <c r="J21" s="347">
        <v>4</v>
      </c>
      <c r="K21" s="278">
        <v>5</v>
      </c>
      <c r="L21" s="278">
        <v>6</v>
      </c>
      <c r="M21" s="278"/>
      <c r="N21" s="278">
        <v>7</v>
      </c>
      <c r="O21" s="278">
        <v>8</v>
      </c>
      <c r="P21" s="278">
        <v>9</v>
      </c>
      <c r="Q21" s="278">
        <v>10</v>
      </c>
      <c r="R21" s="278">
        <v>11</v>
      </c>
      <c r="S21" s="347">
        <v>12</v>
      </c>
      <c r="T21" s="278">
        <v>13</v>
      </c>
      <c r="U21" s="278">
        <v>14</v>
      </c>
      <c r="V21" s="278">
        <v>13</v>
      </c>
      <c r="W21" s="278">
        <v>13.5</v>
      </c>
      <c r="X21" s="278">
        <v>14</v>
      </c>
      <c r="Y21" s="278">
        <v>14.5</v>
      </c>
      <c r="Z21" s="278">
        <v>15</v>
      </c>
      <c r="AA21" s="347">
        <v>15.5</v>
      </c>
      <c r="AB21" s="278">
        <v>16</v>
      </c>
      <c r="AC21" s="278">
        <v>16.5</v>
      </c>
      <c r="AD21" s="278">
        <v>17</v>
      </c>
      <c r="AE21" s="278">
        <v>17.5</v>
      </c>
      <c r="AF21" s="278">
        <v>18</v>
      </c>
      <c r="AG21" s="278">
        <v>18.5</v>
      </c>
      <c r="AH21" s="278">
        <v>19</v>
      </c>
      <c r="AI21" s="347">
        <v>19.5</v>
      </c>
      <c r="AJ21" s="278">
        <v>20</v>
      </c>
      <c r="AK21" s="278">
        <v>20.5</v>
      </c>
      <c r="AL21" s="278">
        <v>15</v>
      </c>
    </row>
    <row r="22" spans="1:48" s="350" customFormat="1" ht="13.15" hidden="1" customHeight="1">
      <c r="A22" s="301" t="s">
        <v>511</v>
      </c>
      <c r="B22" s="301" t="s">
        <v>602</v>
      </c>
      <c r="C22" s="282" t="s">
        <v>794</v>
      </c>
      <c r="D22" s="282"/>
      <c r="E22" s="282"/>
      <c r="F22" s="282"/>
      <c r="G22" s="282"/>
      <c r="H22" s="282"/>
      <c r="I22" s="282"/>
      <c r="J22" s="367">
        <v>1</v>
      </c>
      <c r="K22" s="368">
        <f>(L22/$L$135)*100</f>
        <v>3.191489361702128</v>
      </c>
      <c r="L22" s="368">
        <v>45</v>
      </c>
      <c r="M22" s="368">
        <v>0</v>
      </c>
      <c r="N22" s="367">
        <f>J22</f>
        <v>1</v>
      </c>
      <c r="O22" s="368">
        <f>P22/$P$136*100</f>
        <v>0</v>
      </c>
      <c r="P22" s="368">
        <f>M22</f>
        <v>0</v>
      </c>
      <c r="Q22" s="367">
        <v>0.1</v>
      </c>
      <c r="R22" s="368">
        <f t="shared" ref="R22:R85" si="0">IF(N22=0,Q22/J22*K22,Q22/N22*O22)</f>
        <v>0</v>
      </c>
      <c r="S22" s="367">
        <f t="shared" ref="S22:S30" si="1">ROUND(IF(O22=0,R22/K22*100,R22/O22*100),2)</f>
        <v>0</v>
      </c>
      <c r="T22" s="367">
        <v>0</v>
      </c>
      <c r="U22" s="367">
        <f>IFERROR(T22/P22*100,0)</f>
        <v>0</v>
      </c>
      <c r="V22" s="367"/>
      <c r="W22" s="367"/>
      <c r="X22" s="367"/>
      <c r="Y22" s="367"/>
      <c r="Z22" s="367"/>
      <c r="AA22" s="367"/>
      <c r="AB22" s="367"/>
      <c r="AC22" s="367"/>
      <c r="AD22" s="367"/>
      <c r="AE22" s="367"/>
      <c r="AF22" s="367"/>
      <c r="AG22" s="367"/>
      <c r="AH22" s="367"/>
      <c r="AI22" s="367"/>
      <c r="AJ22" s="367"/>
      <c r="AK22" s="367"/>
      <c r="AL22" s="405"/>
      <c r="AM22" s="263"/>
      <c r="AN22" s="263"/>
      <c r="AO22" s="263"/>
      <c r="AP22" s="263"/>
      <c r="AQ22" s="263"/>
      <c r="AR22" s="263"/>
      <c r="AS22" s="263"/>
      <c r="AT22" s="263"/>
      <c r="AU22" s="263"/>
      <c r="AV22" s="263"/>
    </row>
    <row r="23" spans="1:48" s="350" customFormat="1" ht="39" hidden="1">
      <c r="A23" s="304" t="s">
        <v>517</v>
      </c>
      <c r="B23" s="380" t="s">
        <v>603</v>
      </c>
      <c r="C23" s="284" t="s">
        <v>795</v>
      </c>
      <c r="D23" s="284"/>
      <c r="E23" s="284"/>
      <c r="F23" s="284"/>
      <c r="G23" s="284"/>
      <c r="H23" s="284"/>
      <c r="I23" s="284"/>
      <c r="J23" s="366">
        <v>20</v>
      </c>
      <c r="K23" s="370">
        <f>(L23/$L$135)*100</f>
        <v>10.638297872340427</v>
      </c>
      <c r="L23" s="370">
        <v>150</v>
      </c>
      <c r="M23" s="370">
        <v>106.5</v>
      </c>
      <c r="N23" s="366">
        <f t="shared" ref="N23:N86" si="2">J23</f>
        <v>20</v>
      </c>
      <c r="O23" s="370">
        <f t="shared" ref="O23:O86" si="3">P23/$P$136*100</f>
        <v>15.106382978723406</v>
      </c>
      <c r="P23" s="370">
        <f t="shared" ref="P23:P86" si="4">M23</f>
        <v>106.5</v>
      </c>
      <c r="Q23" s="366">
        <v>20</v>
      </c>
      <c r="R23" s="370">
        <f t="shared" si="0"/>
        <v>15.106382978723406</v>
      </c>
      <c r="S23" s="366">
        <f t="shared" si="1"/>
        <v>100</v>
      </c>
      <c r="T23" s="366">
        <v>105.39</v>
      </c>
      <c r="U23" s="370">
        <f t="shared" ref="U23:U86" si="5">IFERROR(T23/P23*100,0)</f>
        <v>98.957746478873247</v>
      </c>
      <c r="V23" s="366"/>
      <c r="W23" s="366"/>
      <c r="X23" s="366"/>
      <c r="Y23" s="366"/>
      <c r="Z23" s="366"/>
      <c r="AA23" s="366"/>
      <c r="AB23" s="366"/>
      <c r="AC23" s="366"/>
      <c r="AD23" s="366"/>
      <c r="AE23" s="366"/>
      <c r="AF23" s="366"/>
      <c r="AG23" s="366"/>
      <c r="AH23" s="366"/>
      <c r="AI23" s="366"/>
      <c r="AJ23" s="366"/>
      <c r="AK23" s="366"/>
      <c r="AL23" s="360"/>
      <c r="AM23" s="263" t="s">
        <v>821</v>
      </c>
      <c r="AN23" s="263"/>
      <c r="AO23" s="263"/>
      <c r="AP23" s="263"/>
      <c r="AQ23" s="263"/>
      <c r="AR23" s="263"/>
      <c r="AS23" s="263"/>
      <c r="AT23" s="263"/>
      <c r="AU23" s="263"/>
      <c r="AV23" s="263"/>
    </row>
    <row r="24" spans="1:48" s="350" customFormat="1" ht="39" hidden="1">
      <c r="A24" s="304" t="s">
        <v>232</v>
      </c>
      <c r="B24" s="304" t="s">
        <v>604</v>
      </c>
      <c r="C24" s="284" t="s">
        <v>794</v>
      </c>
      <c r="D24" s="284"/>
      <c r="E24" s="284"/>
      <c r="F24" s="284"/>
      <c r="G24" s="284"/>
      <c r="H24" s="284"/>
      <c r="I24" s="284"/>
      <c r="J24" s="366">
        <v>3.4</v>
      </c>
      <c r="K24" s="370">
        <f t="shared" ref="K24:K87" si="6">(L24/$L$135)*100</f>
        <v>7.0921985815602842</v>
      </c>
      <c r="L24" s="370">
        <v>100</v>
      </c>
      <c r="M24" s="370">
        <v>80</v>
      </c>
      <c r="N24" s="366">
        <f t="shared" si="2"/>
        <v>3.4</v>
      </c>
      <c r="O24" s="370">
        <f t="shared" si="3"/>
        <v>11.347517730496456</v>
      </c>
      <c r="P24" s="370">
        <f t="shared" si="4"/>
        <v>80</v>
      </c>
      <c r="Q24" s="366">
        <f t="shared" ref="Q24:Q87" si="7">J24</f>
        <v>3.4</v>
      </c>
      <c r="R24" s="370">
        <f t="shared" si="0"/>
        <v>11.347517730496456</v>
      </c>
      <c r="S24" s="366">
        <f t="shared" si="1"/>
        <v>100</v>
      </c>
      <c r="T24" s="366">
        <v>79.58</v>
      </c>
      <c r="U24" s="370">
        <f t="shared" si="5"/>
        <v>99.475000000000009</v>
      </c>
      <c r="V24" s="366"/>
      <c r="W24" s="366"/>
      <c r="X24" s="366"/>
      <c r="Y24" s="366"/>
      <c r="Z24" s="366"/>
      <c r="AA24" s="366"/>
      <c r="AB24" s="366"/>
      <c r="AC24" s="366"/>
      <c r="AD24" s="366"/>
      <c r="AE24" s="366"/>
      <c r="AF24" s="366"/>
      <c r="AG24" s="366"/>
      <c r="AH24" s="366"/>
      <c r="AI24" s="366"/>
      <c r="AJ24" s="366"/>
      <c r="AK24" s="366"/>
      <c r="AL24" s="360"/>
      <c r="AM24" s="263" t="s">
        <v>822</v>
      </c>
      <c r="AN24" s="263"/>
      <c r="AO24" s="263"/>
      <c r="AP24" s="263"/>
      <c r="AQ24" s="263"/>
      <c r="AR24" s="263"/>
      <c r="AS24" s="263"/>
      <c r="AT24" s="263"/>
      <c r="AU24" s="263"/>
      <c r="AV24" s="263"/>
    </row>
    <row r="25" spans="1:48" s="350" customFormat="1" ht="39" hidden="1">
      <c r="A25" s="304" t="s">
        <v>234</v>
      </c>
      <c r="B25" s="304" t="s">
        <v>605</v>
      </c>
      <c r="C25" s="284" t="s">
        <v>794</v>
      </c>
      <c r="D25" s="284"/>
      <c r="E25" s="284"/>
      <c r="F25" s="284"/>
      <c r="G25" s="284"/>
      <c r="H25" s="284"/>
      <c r="I25" s="284"/>
      <c r="J25" s="366">
        <v>2.96</v>
      </c>
      <c r="K25" s="370">
        <f t="shared" si="6"/>
        <v>4.255319148936171</v>
      </c>
      <c r="L25" s="370">
        <v>60</v>
      </c>
      <c r="M25" s="370">
        <v>40</v>
      </c>
      <c r="N25" s="366">
        <f t="shared" si="2"/>
        <v>2.96</v>
      </c>
      <c r="O25" s="370">
        <f t="shared" si="3"/>
        <v>5.673758865248228</v>
      </c>
      <c r="P25" s="370">
        <f t="shared" si="4"/>
        <v>40</v>
      </c>
      <c r="Q25" s="366">
        <f t="shared" si="7"/>
        <v>2.96</v>
      </c>
      <c r="R25" s="370">
        <f t="shared" si="0"/>
        <v>5.673758865248228</v>
      </c>
      <c r="S25" s="366">
        <f t="shared" si="1"/>
        <v>100</v>
      </c>
      <c r="T25" s="366">
        <v>39.479999999999997</v>
      </c>
      <c r="U25" s="370">
        <f t="shared" si="5"/>
        <v>98.699999999999989</v>
      </c>
      <c r="V25" s="366"/>
      <c r="W25" s="366"/>
      <c r="X25" s="366"/>
      <c r="Y25" s="366"/>
      <c r="Z25" s="366"/>
      <c r="AA25" s="366"/>
      <c r="AB25" s="366"/>
      <c r="AC25" s="366"/>
      <c r="AD25" s="366"/>
      <c r="AE25" s="366"/>
      <c r="AF25" s="366"/>
      <c r="AG25" s="366"/>
      <c r="AH25" s="366"/>
      <c r="AI25" s="366"/>
      <c r="AJ25" s="366"/>
      <c r="AK25" s="366"/>
      <c r="AL25" s="360"/>
      <c r="AM25" s="263" t="s">
        <v>822</v>
      </c>
      <c r="AN25" s="263"/>
      <c r="AO25" s="263"/>
      <c r="AP25" s="263"/>
      <c r="AQ25" s="263"/>
      <c r="AR25" s="263"/>
      <c r="AS25" s="263"/>
      <c r="AT25" s="263"/>
      <c r="AU25" s="263"/>
      <c r="AV25" s="263"/>
    </row>
    <row r="26" spans="1:48" s="350" customFormat="1" ht="58.5" hidden="1">
      <c r="A26" s="304" t="s">
        <v>240</v>
      </c>
      <c r="B26" s="304" t="s">
        <v>606</v>
      </c>
      <c r="C26" s="284" t="s">
        <v>794</v>
      </c>
      <c r="D26" s="284"/>
      <c r="E26" s="284"/>
      <c r="F26" s="284"/>
      <c r="G26" s="284"/>
      <c r="H26" s="284"/>
      <c r="I26" s="284"/>
      <c r="J26" s="366">
        <v>1</v>
      </c>
      <c r="K26" s="370">
        <f t="shared" si="6"/>
        <v>0.35460992907801425</v>
      </c>
      <c r="L26" s="370">
        <v>5</v>
      </c>
      <c r="M26" s="370">
        <v>5</v>
      </c>
      <c r="N26" s="366">
        <f t="shared" si="2"/>
        <v>1</v>
      </c>
      <c r="O26" s="370">
        <f t="shared" si="3"/>
        <v>0.7092198581560285</v>
      </c>
      <c r="P26" s="370">
        <f t="shared" si="4"/>
        <v>5</v>
      </c>
      <c r="Q26" s="366">
        <f t="shared" si="7"/>
        <v>1</v>
      </c>
      <c r="R26" s="370">
        <f t="shared" si="0"/>
        <v>0.7092198581560285</v>
      </c>
      <c r="S26" s="366">
        <f t="shared" si="1"/>
        <v>100</v>
      </c>
      <c r="T26" s="366">
        <v>4.99</v>
      </c>
      <c r="U26" s="370">
        <f>IFERROR(T26/L26*100,0)</f>
        <v>99.8</v>
      </c>
      <c r="V26" s="366"/>
      <c r="W26" s="366"/>
      <c r="X26" s="366"/>
      <c r="Y26" s="366"/>
      <c r="Z26" s="366"/>
      <c r="AA26" s="366"/>
      <c r="AB26" s="366"/>
      <c r="AC26" s="366"/>
      <c r="AD26" s="366"/>
      <c r="AE26" s="366"/>
      <c r="AF26" s="366"/>
      <c r="AG26" s="366"/>
      <c r="AH26" s="366"/>
      <c r="AI26" s="366"/>
      <c r="AJ26" s="366"/>
      <c r="AK26" s="366"/>
      <c r="AL26" s="360"/>
      <c r="AM26" s="263" t="s">
        <v>822</v>
      </c>
      <c r="AN26" s="263"/>
      <c r="AO26" s="263"/>
      <c r="AP26" s="263"/>
      <c r="AQ26" s="263"/>
      <c r="AR26" s="263"/>
      <c r="AS26" s="263"/>
      <c r="AT26" s="263"/>
      <c r="AU26" s="263"/>
      <c r="AV26" s="263"/>
    </row>
    <row r="27" spans="1:48" s="350" customFormat="1" ht="58.5" hidden="1">
      <c r="A27" s="304" t="s">
        <v>242</v>
      </c>
      <c r="B27" s="304" t="s">
        <v>607</v>
      </c>
      <c r="C27" s="284" t="s">
        <v>794</v>
      </c>
      <c r="D27" s="284"/>
      <c r="E27" s="284"/>
      <c r="F27" s="284"/>
      <c r="G27" s="284"/>
      <c r="H27" s="284"/>
      <c r="I27" s="284"/>
      <c r="J27" s="366">
        <v>1</v>
      </c>
      <c r="K27" s="370">
        <f t="shared" si="6"/>
        <v>0.7092198581560285</v>
      </c>
      <c r="L27" s="370">
        <v>10</v>
      </c>
      <c r="M27" s="370">
        <v>5</v>
      </c>
      <c r="N27" s="366">
        <f t="shared" si="2"/>
        <v>1</v>
      </c>
      <c r="O27" s="370">
        <f t="shared" si="3"/>
        <v>0.7092198581560285</v>
      </c>
      <c r="P27" s="370">
        <f t="shared" si="4"/>
        <v>5</v>
      </c>
      <c r="Q27" s="366">
        <f t="shared" si="7"/>
        <v>1</v>
      </c>
      <c r="R27" s="370">
        <f t="shared" si="0"/>
        <v>0.7092198581560285</v>
      </c>
      <c r="S27" s="366">
        <f t="shared" si="1"/>
        <v>100</v>
      </c>
      <c r="T27" s="366">
        <v>4.99</v>
      </c>
      <c r="U27" s="370">
        <f t="shared" si="5"/>
        <v>99.8</v>
      </c>
      <c r="V27" s="366"/>
      <c r="W27" s="366"/>
      <c r="X27" s="366"/>
      <c r="Y27" s="366"/>
      <c r="Z27" s="366"/>
      <c r="AA27" s="366"/>
      <c r="AB27" s="366"/>
      <c r="AC27" s="366"/>
      <c r="AD27" s="366"/>
      <c r="AE27" s="366"/>
      <c r="AF27" s="366"/>
      <c r="AG27" s="366"/>
      <c r="AH27" s="366"/>
      <c r="AI27" s="366"/>
      <c r="AJ27" s="366"/>
      <c r="AK27" s="366"/>
      <c r="AL27" s="360"/>
      <c r="AM27" s="263" t="s">
        <v>822</v>
      </c>
      <c r="AN27" s="263"/>
      <c r="AO27" s="263"/>
      <c r="AP27" s="263"/>
      <c r="AQ27" s="263"/>
      <c r="AR27" s="263"/>
      <c r="AS27" s="263"/>
      <c r="AT27" s="263"/>
      <c r="AU27" s="263"/>
      <c r="AV27" s="263"/>
    </row>
    <row r="28" spans="1:48" s="350" customFormat="1" ht="58.5" hidden="1">
      <c r="A28" s="304" t="s">
        <v>244</v>
      </c>
      <c r="B28" s="304" t="s">
        <v>608</v>
      </c>
      <c r="C28" s="284" t="s">
        <v>794</v>
      </c>
      <c r="D28" s="284"/>
      <c r="E28" s="284"/>
      <c r="F28" s="284"/>
      <c r="G28" s="284"/>
      <c r="H28" s="284"/>
      <c r="I28" s="284"/>
      <c r="J28" s="366">
        <v>1</v>
      </c>
      <c r="K28" s="370">
        <f t="shared" si="6"/>
        <v>0.7092198581560285</v>
      </c>
      <c r="L28" s="370">
        <v>10</v>
      </c>
      <c r="M28" s="370">
        <v>5</v>
      </c>
      <c r="N28" s="366">
        <f t="shared" si="2"/>
        <v>1</v>
      </c>
      <c r="O28" s="370">
        <f t="shared" si="3"/>
        <v>0.7092198581560285</v>
      </c>
      <c r="P28" s="370">
        <f t="shared" si="4"/>
        <v>5</v>
      </c>
      <c r="Q28" s="366">
        <f t="shared" si="7"/>
        <v>1</v>
      </c>
      <c r="R28" s="370">
        <f t="shared" si="0"/>
        <v>0.7092198581560285</v>
      </c>
      <c r="S28" s="366">
        <f t="shared" si="1"/>
        <v>100</v>
      </c>
      <c r="T28" s="366">
        <v>4.99</v>
      </c>
      <c r="U28" s="370">
        <f t="shared" si="5"/>
        <v>99.8</v>
      </c>
      <c r="V28" s="366"/>
      <c r="W28" s="366"/>
      <c r="X28" s="366"/>
      <c r="Y28" s="366"/>
      <c r="Z28" s="366"/>
      <c r="AA28" s="366"/>
      <c r="AB28" s="366"/>
      <c r="AC28" s="366"/>
      <c r="AD28" s="366"/>
      <c r="AE28" s="366"/>
      <c r="AF28" s="366"/>
      <c r="AG28" s="366"/>
      <c r="AH28" s="366"/>
      <c r="AI28" s="366"/>
      <c r="AJ28" s="366"/>
      <c r="AK28" s="366"/>
      <c r="AL28" s="360"/>
      <c r="AM28" s="263" t="s">
        <v>822</v>
      </c>
      <c r="AN28" s="263"/>
      <c r="AO28" s="263"/>
      <c r="AP28" s="263"/>
      <c r="AQ28" s="263"/>
      <c r="AR28" s="263"/>
      <c r="AS28" s="263"/>
      <c r="AT28" s="263"/>
      <c r="AU28" s="263"/>
      <c r="AV28" s="263"/>
    </row>
    <row r="29" spans="1:48" s="350" customFormat="1" ht="58.5" hidden="1">
      <c r="A29" s="304" t="s">
        <v>246</v>
      </c>
      <c r="B29" s="304" t="s">
        <v>609</v>
      </c>
      <c r="C29" s="284" t="s">
        <v>794</v>
      </c>
      <c r="D29" s="284"/>
      <c r="E29" s="284"/>
      <c r="F29" s="284"/>
      <c r="G29" s="284"/>
      <c r="H29" s="284"/>
      <c r="I29" s="284"/>
      <c r="J29" s="366">
        <v>1</v>
      </c>
      <c r="K29" s="370">
        <f t="shared" si="6"/>
        <v>0.7092198581560285</v>
      </c>
      <c r="L29" s="370">
        <v>10</v>
      </c>
      <c r="M29" s="370">
        <v>5</v>
      </c>
      <c r="N29" s="366">
        <f t="shared" si="2"/>
        <v>1</v>
      </c>
      <c r="O29" s="370">
        <f t="shared" si="3"/>
        <v>0.7092198581560285</v>
      </c>
      <c r="P29" s="370">
        <f t="shared" si="4"/>
        <v>5</v>
      </c>
      <c r="Q29" s="366">
        <f t="shared" si="7"/>
        <v>1</v>
      </c>
      <c r="R29" s="370">
        <f t="shared" si="0"/>
        <v>0.7092198581560285</v>
      </c>
      <c r="S29" s="366">
        <f t="shared" si="1"/>
        <v>100</v>
      </c>
      <c r="T29" s="366">
        <v>4.97</v>
      </c>
      <c r="U29" s="370">
        <f t="shared" si="5"/>
        <v>99.4</v>
      </c>
      <c r="V29" s="366"/>
      <c r="W29" s="366"/>
      <c r="X29" s="366"/>
      <c r="Y29" s="366"/>
      <c r="Z29" s="366"/>
      <c r="AA29" s="366"/>
      <c r="AB29" s="366"/>
      <c r="AC29" s="366"/>
      <c r="AD29" s="366"/>
      <c r="AE29" s="366"/>
      <c r="AF29" s="366"/>
      <c r="AG29" s="366"/>
      <c r="AH29" s="366"/>
      <c r="AI29" s="366"/>
      <c r="AJ29" s="366"/>
      <c r="AK29" s="366"/>
      <c r="AL29" s="360"/>
      <c r="AM29" s="263" t="s">
        <v>822</v>
      </c>
      <c r="AN29" s="263"/>
      <c r="AO29" s="263"/>
      <c r="AP29" s="263"/>
      <c r="AQ29" s="263"/>
      <c r="AR29" s="263"/>
      <c r="AS29" s="263"/>
      <c r="AT29" s="263"/>
      <c r="AU29" s="263"/>
      <c r="AV29" s="263"/>
    </row>
    <row r="30" spans="1:48" s="350" customFormat="1" ht="39" hidden="1">
      <c r="A30" s="304" t="s">
        <v>248</v>
      </c>
      <c r="B30" s="304" t="s">
        <v>610</v>
      </c>
      <c r="C30" s="284" t="s">
        <v>794</v>
      </c>
      <c r="D30" s="284"/>
      <c r="E30" s="284"/>
      <c r="F30" s="284"/>
      <c r="G30" s="284"/>
      <c r="H30" s="284"/>
      <c r="I30" s="284"/>
      <c r="J30" s="366">
        <v>1</v>
      </c>
      <c r="K30" s="370">
        <f t="shared" si="6"/>
        <v>1.418439716312057</v>
      </c>
      <c r="L30" s="370">
        <v>20</v>
      </c>
      <c r="M30" s="370">
        <v>20</v>
      </c>
      <c r="N30" s="366">
        <f t="shared" si="2"/>
        <v>1</v>
      </c>
      <c r="O30" s="370">
        <f t="shared" si="3"/>
        <v>2.836879432624114</v>
      </c>
      <c r="P30" s="370">
        <f t="shared" si="4"/>
        <v>20</v>
      </c>
      <c r="Q30" s="366">
        <f t="shared" si="7"/>
        <v>1</v>
      </c>
      <c r="R30" s="370">
        <f t="shared" si="0"/>
        <v>2.836879432624114</v>
      </c>
      <c r="S30" s="366">
        <f t="shared" si="1"/>
        <v>100</v>
      </c>
      <c r="T30" s="366">
        <v>19.97</v>
      </c>
      <c r="U30" s="370">
        <f>IFERROR(T30/L30*100,0)</f>
        <v>99.85</v>
      </c>
      <c r="V30" s="366"/>
      <c r="W30" s="366"/>
      <c r="X30" s="366"/>
      <c r="Y30" s="366"/>
      <c r="Z30" s="366"/>
      <c r="AA30" s="366"/>
      <c r="AB30" s="366"/>
      <c r="AC30" s="366"/>
      <c r="AD30" s="366"/>
      <c r="AE30" s="366"/>
      <c r="AF30" s="366"/>
      <c r="AG30" s="366"/>
      <c r="AH30" s="366"/>
      <c r="AI30" s="366"/>
      <c r="AJ30" s="366"/>
      <c r="AK30" s="366"/>
      <c r="AL30" s="360"/>
      <c r="AM30" s="263" t="s">
        <v>822</v>
      </c>
      <c r="AN30" s="263"/>
      <c r="AO30" s="263"/>
      <c r="AP30" s="263"/>
      <c r="AQ30" s="263"/>
      <c r="AR30" s="263"/>
      <c r="AS30" s="263"/>
      <c r="AT30" s="263"/>
      <c r="AU30" s="263"/>
      <c r="AV30" s="263"/>
    </row>
    <row r="31" spans="1:48" s="306" customFormat="1" ht="39" hidden="1">
      <c r="A31" s="304" t="s">
        <v>250</v>
      </c>
      <c r="B31" s="304" t="s">
        <v>611</v>
      </c>
      <c r="C31" s="284" t="s">
        <v>794</v>
      </c>
      <c r="D31" s="284"/>
      <c r="E31" s="284"/>
      <c r="F31" s="284"/>
      <c r="G31" s="284"/>
      <c r="H31" s="284"/>
      <c r="I31" s="284"/>
      <c r="J31" s="366">
        <v>0</v>
      </c>
      <c r="K31" s="370">
        <f t="shared" si="6"/>
        <v>0</v>
      </c>
      <c r="L31" s="371">
        <v>0</v>
      </c>
      <c r="M31" s="371">
        <v>0</v>
      </c>
      <c r="N31" s="366">
        <f t="shared" si="2"/>
        <v>0</v>
      </c>
      <c r="O31" s="370">
        <f t="shared" si="3"/>
        <v>0</v>
      </c>
      <c r="P31" s="370">
        <f t="shared" si="4"/>
        <v>0</v>
      </c>
      <c r="Q31" s="366">
        <f t="shared" si="7"/>
        <v>0</v>
      </c>
      <c r="R31" s="370">
        <v>0</v>
      </c>
      <c r="S31" s="366">
        <v>0</v>
      </c>
      <c r="T31" s="366">
        <v>0</v>
      </c>
      <c r="U31" s="370">
        <f t="shared" si="5"/>
        <v>0</v>
      </c>
      <c r="V31" s="370">
        <v>5</v>
      </c>
      <c r="W31" s="372">
        <v>0.12</v>
      </c>
      <c r="X31" s="370">
        <v>1.5</v>
      </c>
      <c r="Y31" s="370">
        <v>5</v>
      </c>
      <c r="Z31" s="370"/>
      <c r="AA31" s="370">
        <f>W31/V31*Y31</f>
        <v>0.12</v>
      </c>
      <c r="AB31" s="370"/>
      <c r="AC31" s="370"/>
      <c r="AD31" s="370"/>
      <c r="AE31" s="370"/>
      <c r="AF31" s="370"/>
      <c r="AG31" s="370"/>
      <c r="AH31" s="370">
        <v>15</v>
      </c>
      <c r="AI31" s="370">
        <v>0.37</v>
      </c>
      <c r="AJ31" s="366"/>
      <c r="AK31" s="366"/>
      <c r="AL31" s="360"/>
      <c r="AM31" s="263" t="s">
        <v>822</v>
      </c>
      <c r="AN31" s="305"/>
      <c r="AO31" s="305"/>
      <c r="AP31" s="305"/>
      <c r="AQ31" s="305"/>
      <c r="AR31" s="305"/>
      <c r="AS31" s="305"/>
      <c r="AT31" s="305"/>
      <c r="AU31" s="305"/>
      <c r="AV31" s="305"/>
    </row>
    <row r="32" spans="1:48" s="306" customFormat="1" ht="40.5">
      <c r="A32" s="308" t="s">
        <v>216</v>
      </c>
      <c r="B32" s="363" t="s">
        <v>612</v>
      </c>
      <c r="C32" s="284" t="s">
        <v>794</v>
      </c>
      <c r="D32" s="284"/>
      <c r="E32" s="284"/>
      <c r="F32" s="284"/>
      <c r="G32" s="284"/>
      <c r="H32" s="284"/>
      <c r="I32" s="284"/>
      <c r="J32" s="366">
        <v>2</v>
      </c>
      <c r="K32" s="370">
        <f t="shared" si="6"/>
        <v>0.14184397163120571</v>
      </c>
      <c r="L32" s="371">
        <v>2</v>
      </c>
      <c r="M32" s="371">
        <v>1.7</v>
      </c>
      <c r="N32" s="366">
        <f t="shared" si="2"/>
        <v>2</v>
      </c>
      <c r="O32" s="370">
        <f t="shared" si="3"/>
        <v>0.24113475177304969</v>
      </c>
      <c r="P32" s="370">
        <f t="shared" si="4"/>
        <v>1.7</v>
      </c>
      <c r="Q32" s="366">
        <f t="shared" si="7"/>
        <v>2</v>
      </c>
      <c r="R32" s="370">
        <f t="shared" si="0"/>
        <v>0.24113475177304969</v>
      </c>
      <c r="S32" s="366">
        <f t="shared" ref="S32:S95" si="8">ROUND(IF(O32=0,R32/K32*100,R32/O32*100),2)</f>
        <v>100</v>
      </c>
      <c r="T32" s="366">
        <v>1.21</v>
      </c>
      <c r="U32" s="370">
        <f t="shared" si="5"/>
        <v>71.17647058823529</v>
      </c>
      <c r="V32" s="366">
        <v>0</v>
      </c>
      <c r="W32" s="372">
        <v>0</v>
      </c>
      <c r="X32" s="366">
        <v>0</v>
      </c>
      <c r="Y32" s="366">
        <v>6</v>
      </c>
      <c r="Z32" s="366"/>
      <c r="AA32" s="370">
        <f>K32/J32*Y32</f>
        <v>0.42553191489361714</v>
      </c>
      <c r="AB32" s="370"/>
      <c r="AC32" s="370"/>
      <c r="AD32" s="370"/>
      <c r="AE32" s="370"/>
      <c r="AF32" s="370"/>
      <c r="AG32" s="370"/>
      <c r="AH32" s="370">
        <f t="shared" ref="AH32:AH33" si="9">Y32+Q32</f>
        <v>8</v>
      </c>
      <c r="AI32" s="370">
        <v>1.48</v>
      </c>
      <c r="AJ32" s="366"/>
      <c r="AK32" s="366"/>
      <c r="AL32" s="360"/>
      <c r="AM32" s="305" t="s">
        <v>823</v>
      </c>
      <c r="AN32" s="305"/>
      <c r="AO32" s="305"/>
      <c r="AP32" s="305"/>
      <c r="AQ32" s="305"/>
      <c r="AR32" s="305"/>
      <c r="AS32" s="305"/>
      <c r="AT32" s="305"/>
      <c r="AU32" s="305"/>
      <c r="AV32" s="305"/>
    </row>
    <row r="33" spans="1:48" s="306" customFormat="1" ht="40.5" hidden="1">
      <c r="A33" s="308" t="s">
        <v>399</v>
      </c>
      <c r="B33" s="363" t="s">
        <v>613</v>
      </c>
      <c r="C33" s="284" t="s">
        <v>794</v>
      </c>
      <c r="D33" s="284"/>
      <c r="E33" s="284"/>
      <c r="F33" s="284"/>
      <c r="G33" s="284"/>
      <c r="H33" s="284"/>
      <c r="I33" s="284"/>
      <c r="J33" s="366">
        <v>1</v>
      </c>
      <c r="K33" s="370">
        <f t="shared" si="6"/>
        <v>0.35460992907801425</v>
      </c>
      <c r="L33" s="371">
        <v>5</v>
      </c>
      <c r="M33" s="371">
        <v>0</v>
      </c>
      <c r="N33" s="366">
        <f t="shared" si="2"/>
        <v>1</v>
      </c>
      <c r="O33" s="370">
        <f t="shared" si="3"/>
        <v>0</v>
      </c>
      <c r="P33" s="370">
        <f t="shared" si="4"/>
        <v>0</v>
      </c>
      <c r="Q33" s="366">
        <f t="shared" si="7"/>
        <v>1</v>
      </c>
      <c r="R33" s="370">
        <f t="shared" si="0"/>
        <v>0</v>
      </c>
      <c r="S33" s="366">
        <f t="shared" si="8"/>
        <v>0</v>
      </c>
      <c r="T33" s="366">
        <v>0</v>
      </c>
      <c r="U33" s="370">
        <f t="shared" si="5"/>
        <v>0</v>
      </c>
      <c r="V33" s="366">
        <v>1</v>
      </c>
      <c r="W33" s="372">
        <v>0.02</v>
      </c>
      <c r="X33" s="366">
        <v>0.2</v>
      </c>
      <c r="Y33" s="366">
        <v>0</v>
      </c>
      <c r="Z33" s="366"/>
      <c r="AA33" s="370">
        <f t="shared" ref="AA33:AA46" si="10">W33/V33*Y33</f>
        <v>0</v>
      </c>
      <c r="AB33" s="370"/>
      <c r="AC33" s="370"/>
      <c r="AD33" s="370"/>
      <c r="AE33" s="370"/>
      <c r="AF33" s="370"/>
      <c r="AG33" s="370"/>
      <c r="AH33" s="370">
        <f t="shared" si="9"/>
        <v>1</v>
      </c>
      <c r="AI33" s="370">
        <f>K33/J33*AH33</f>
        <v>0.35460992907801425</v>
      </c>
      <c r="AJ33" s="366"/>
      <c r="AK33" s="366"/>
      <c r="AL33" s="360"/>
      <c r="AM33" s="305"/>
      <c r="AN33" s="305"/>
      <c r="AO33" s="305"/>
      <c r="AP33" s="305"/>
      <c r="AQ33" s="305"/>
      <c r="AR33" s="305"/>
      <c r="AS33" s="305"/>
      <c r="AT33" s="305"/>
      <c r="AU33" s="305"/>
      <c r="AV33" s="305"/>
    </row>
    <row r="34" spans="1:48" s="306" customFormat="1" ht="40.5">
      <c r="A34" s="308" t="s">
        <v>401</v>
      </c>
      <c r="B34" s="363" t="s">
        <v>614</v>
      </c>
      <c r="C34" s="284" t="s">
        <v>796</v>
      </c>
      <c r="D34" s="284"/>
      <c r="E34" s="284"/>
      <c r="F34" s="284"/>
      <c r="G34" s="284"/>
      <c r="H34" s="284"/>
      <c r="I34" s="284"/>
      <c r="J34" s="366">
        <v>1</v>
      </c>
      <c r="K34" s="370">
        <f t="shared" si="6"/>
        <v>0.35460992907801425</v>
      </c>
      <c r="L34" s="371">
        <v>5</v>
      </c>
      <c r="M34" s="371"/>
      <c r="N34" s="366">
        <f t="shared" si="2"/>
        <v>1</v>
      </c>
      <c r="O34" s="370">
        <f t="shared" si="3"/>
        <v>0</v>
      </c>
      <c r="P34" s="370">
        <f t="shared" si="4"/>
        <v>0</v>
      </c>
      <c r="Q34" s="366">
        <f t="shared" si="7"/>
        <v>1</v>
      </c>
      <c r="R34" s="370">
        <f t="shared" si="0"/>
        <v>0</v>
      </c>
      <c r="S34" s="366">
        <f t="shared" si="8"/>
        <v>0</v>
      </c>
      <c r="T34" s="366">
        <v>0</v>
      </c>
      <c r="U34" s="370">
        <f t="shared" si="5"/>
        <v>0</v>
      </c>
      <c r="V34" s="366"/>
      <c r="W34" s="372"/>
      <c r="X34" s="366"/>
      <c r="Y34" s="366"/>
      <c r="Z34" s="366"/>
      <c r="AA34" s="366"/>
      <c r="AB34" s="366"/>
      <c r="AC34" s="366"/>
      <c r="AD34" s="366"/>
      <c r="AE34" s="366"/>
      <c r="AF34" s="366"/>
      <c r="AG34" s="366"/>
      <c r="AH34" s="366"/>
      <c r="AI34" s="366"/>
      <c r="AJ34" s="366"/>
      <c r="AK34" s="366"/>
      <c r="AL34" s="360"/>
      <c r="AM34" s="305" t="s">
        <v>823</v>
      </c>
      <c r="AN34" s="305"/>
      <c r="AO34" s="305"/>
      <c r="AP34" s="305"/>
      <c r="AQ34" s="305"/>
      <c r="AR34" s="305"/>
      <c r="AS34" s="305"/>
      <c r="AT34" s="305"/>
      <c r="AU34" s="305"/>
      <c r="AV34" s="305"/>
    </row>
    <row r="35" spans="1:48" s="306" customFormat="1" ht="39" hidden="1">
      <c r="A35" s="308" t="s">
        <v>404</v>
      </c>
      <c r="B35" s="297" t="s">
        <v>615</v>
      </c>
      <c r="C35" s="352" t="s">
        <v>794</v>
      </c>
      <c r="D35" s="284"/>
      <c r="E35" s="284"/>
      <c r="F35" s="284"/>
      <c r="G35" s="284"/>
      <c r="H35" s="284"/>
      <c r="I35" s="284"/>
      <c r="J35" s="366">
        <v>1</v>
      </c>
      <c r="K35" s="370">
        <f t="shared" si="6"/>
        <v>3.5460992907801421</v>
      </c>
      <c r="L35" s="371">
        <v>50</v>
      </c>
      <c r="M35" s="371"/>
      <c r="N35" s="366">
        <f t="shared" si="2"/>
        <v>1</v>
      </c>
      <c r="O35" s="370">
        <f t="shared" si="3"/>
        <v>0</v>
      </c>
      <c r="P35" s="370">
        <f t="shared" si="4"/>
        <v>0</v>
      </c>
      <c r="Q35" s="366">
        <f t="shared" si="7"/>
        <v>1</v>
      </c>
      <c r="R35" s="370">
        <f t="shared" si="0"/>
        <v>0</v>
      </c>
      <c r="S35" s="366">
        <f t="shared" si="8"/>
        <v>0</v>
      </c>
      <c r="T35" s="366">
        <v>0</v>
      </c>
      <c r="U35" s="370">
        <f t="shared" si="5"/>
        <v>0</v>
      </c>
      <c r="V35" s="366">
        <v>1</v>
      </c>
      <c r="W35" s="366">
        <v>8.23</v>
      </c>
      <c r="X35" s="366">
        <v>100</v>
      </c>
      <c r="Y35" s="366">
        <v>0</v>
      </c>
      <c r="Z35" s="366"/>
      <c r="AA35" s="366">
        <v>0</v>
      </c>
      <c r="AB35" s="366"/>
      <c r="AC35" s="366"/>
      <c r="AD35" s="366"/>
      <c r="AE35" s="366"/>
      <c r="AF35" s="366"/>
      <c r="AG35" s="366"/>
      <c r="AH35" s="366">
        <v>0</v>
      </c>
      <c r="AI35" s="366">
        <v>0</v>
      </c>
      <c r="AJ35" s="366"/>
      <c r="AK35" s="366"/>
      <c r="AL35" s="360"/>
      <c r="AM35" s="305"/>
      <c r="AN35" s="305"/>
      <c r="AO35" s="305"/>
      <c r="AP35" s="305"/>
      <c r="AQ35" s="305"/>
      <c r="AR35" s="305"/>
      <c r="AS35" s="305"/>
      <c r="AT35" s="305"/>
      <c r="AU35" s="305"/>
      <c r="AV35" s="305"/>
    </row>
    <row r="36" spans="1:48" s="306" customFormat="1" ht="39">
      <c r="A36" s="308" t="s">
        <v>406</v>
      </c>
      <c r="B36" s="304" t="s">
        <v>540</v>
      </c>
      <c r="C36" s="283" t="s">
        <v>797</v>
      </c>
      <c r="D36" s="284"/>
      <c r="E36" s="284"/>
      <c r="F36" s="284"/>
      <c r="G36" s="284"/>
      <c r="H36" s="284"/>
      <c r="I36" s="284"/>
      <c r="J36" s="366">
        <v>1</v>
      </c>
      <c r="K36" s="370">
        <f t="shared" si="6"/>
        <v>3.5460992907801421</v>
      </c>
      <c r="L36" s="371">
        <v>50</v>
      </c>
      <c r="M36" s="371">
        <v>50</v>
      </c>
      <c r="N36" s="366">
        <f t="shared" si="2"/>
        <v>1</v>
      </c>
      <c r="O36" s="370">
        <f t="shared" si="3"/>
        <v>7.0921985815602842</v>
      </c>
      <c r="P36" s="370">
        <f t="shared" si="4"/>
        <v>50</v>
      </c>
      <c r="Q36" s="366">
        <f t="shared" si="7"/>
        <v>1</v>
      </c>
      <c r="R36" s="370">
        <f t="shared" si="0"/>
        <v>7.0921985815602842</v>
      </c>
      <c r="S36" s="366">
        <f t="shared" si="8"/>
        <v>100</v>
      </c>
      <c r="T36" s="366">
        <v>49.28</v>
      </c>
      <c r="U36" s="370">
        <f t="shared" si="5"/>
        <v>98.56</v>
      </c>
      <c r="V36" s="366">
        <v>0</v>
      </c>
      <c r="W36" s="366">
        <v>0</v>
      </c>
      <c r="X36" s="366">
        <v>0</v>
      </c>
      <c r="Y36" s="366">
        <v>0</v>
      </c>
      <c r="Z36" s="366"/>
      <c r="AA36" s="366">
        <v>0</v>
      </c>
      <c r="AB36" s="366"/>
      <c r="AC36" s="366"/>
      <c r="AD36" s="366"/>
      <c r="AE36" s="366"/>
      <c r="AF36" s="366"/>
      <c r="AG36" s="366"/>
      <c r="AH36" s="366">
        <v>0</v>
      </c>
      <c r="AI36" s="366">
        <v>0</v>
      </c>
      <c r="AJ36" s="366"/>
      <c r="AK36" s="366"/>
      <c r="AL36" s="360"/>
      <c r="AM36" s="305" t="s">
        <v>823</v>
      </c>
      <c r="AN36" s="305"/>
      <c r="AO36" s="305"/>
      <c r="AP36" s="305"/>
      <c r="AQ36" s="305"/>
      <c r="AR36" s="305"/>
      <c r="AS36" s="305"/>
      <c r="AT36" s="305"/>
      <c r="AU36" s="305"/>
      <c r="AV36" s="305"/>
    </row>
    <row r="37" spans="1:48" s="306" customFormat="1" ht="39" hidden="1">
      <c r="A37" s="308" t="s">
        <v>407</v>
      </c>
      <c r="B37" s="297" t="s">
        <v>616</v>
      </c>
      <c r="C37" s="352" t="s">
        <v>794</v>
      </c>
      <c r="D37" s="284"/>
      <c r="E37" s="284"/>
      <c r="F37" s="284"/>
      <c r="G37" s="284"/>
      <c r="H37" s="284"/>
      <c r="I37" s="284"/>
      <c r="J37" s="366">
        <v>1</v>
      </c>
      <c r="K37" s="370">
        <f t="shared" si="6"/>
        <v>0.35460992907801425</v>
      </c>
      <c r="L37" s="371">
        <v>5</v>
      </c>
      <c r="M37" s="371"/>
      <c r="N37" s="366">
        <f t="shared" si="2"/>
        <v>1</v>
      </c>
      <c r="O37" s="370">
        <f t="shared" si="3"/>
        <v>0</v>
      </c>
      <c r="P37" s="370">
        <f t="shared" si="4"/>
        <v>0</v>
      </c>
      <c r="Q37" s="366">
        <f t="shared" si="7"/>
        <v>1</v>
      </c>
      <c r="R37" s="370">
        <f t="shared" si="0"/>
        <v>0</v>
      </c>
      <c r="S37" s="366">
        <f t="shared" si="8"/>
        <v>0</v>
      </c>
      <c r="T37" s="366">
        <v>0</v>
      </c>
      <c r="U37" s="370">
        <f t="shared" si="5"/>
        <v>0</v>
      </c>
      <c r="V37" s="370">
        <v>0.2</v>
      </c>
      <c r="W37" s="372">
        <v>1.65</v>
      </c>
      <c r="X37" s="370">
        <v>20</v>
      </c>
      <c r="Y37" s="370">
        <f>V37</f>
        <v>0.2</v>
      </c>
      <c r="Z37" s="370"/>
      <c r="AA37" s="370">
        <v>1.65</v>
      </c>
      <c r="AB37" s="370"/>
      <c r="AC37" s="370"/>
      <c r="AD37" s="370"/>
      <c r="AE37" s="370"/>
      <c r="AF37" s="370"/>
      <c r="AG37" s="370"/>
      <c r="AH37" s="370">
        <v>1</v>
      </c>
      <c r="AI37" s="370">
        <f>K37/J37*AH37</f>
        <v>0.35460992907801425</v>
      </c>
      <c r="AJ37" s="366"/>
      <c r="AK37" s="366"/>
      <c r="AL37" s="360"/>
      <c r="AM37" s="305"/>
      <c r="AN37" s="305"/>
      <c r="AO37" s="305"/>
      <c r="AP37" s="305"/>
      <c r="AQ37" s="305"/>
      <c r="AR37" s="305"/>
      <c r="AS37" s="305"/>
      <c r="AT37" s="305"/>
      <c r="AU37" s="305"/>
      <c r="AV37" s="305"/>
    </row>
    <row r="38" spans="1:48" s="306" customFormat="1" ht="39">
      <c r="A38" s="308" t="s">
        <v>409</v>
      </c>
      <c r="B38" s="304" t="s">
        <v>540</v>
      </c>
      <c r="C38" s="341" t="s">
        <v>797</v>
      </c>
      <c r="D38" s="284"/>
      <c r="E38" s="284"/>
      <c r="F38" s="284"/>
      <c r="G38" s="284"/>
      <c r="H38" s="284"/>
      <c r="I38" s="284"/>
      <c r="J38" s="366">
        <v>1</v>
      </c>
      <c r="K38" s="370">
        <f t="shared" si="6"/>
        <v>0.35460992907801425</v>
      </c>
      <c r="L38" s="371">
        <v>5</v>
      </c>
      <c r="M38" s="371">
        <v>5</v>
      </c>
      <c r="N38" s="366">
        <f t="shared" si="2"/>
        <v>1</v>
      </c>
      <c r="O38" s="370">
        <f t="shared" si="3"/>
        <v>0.7092198581560285</v>
      </c>
      <c r="P38" s="370">
        <f t="shared" si="4"/>
        <v>5</v>
      </c>
      <c r="Q38" s="366">
        <f t="shared" si="7"/>
        <v>1</v>
      </c>
      <c r="R38" s="370">
        <f t="shared" si="0"/>
        <v>0.7092198581560285</v>
      </c>
      <c r="S38" s="366">
        <f t="shared" si="8"/>
        <v>100</v>
      </c>
      <c r="T38" s="366">
        <v>5</v>
      </c>
      <c r="U38" s="370">
        <f t="shared" si="5"/>
        <v>100</v>
      </c>
      <c r="V38" s="370"/>
      <c r="W38" s="372"/>
      <c r="X38" s="370"/>
      <c r="Y38" s="370"/>
      <c r="Z38" s="370"/>
      <c r="AA38" s="370"/>
      <c r="AB38" s="370"/>
      <c r="AC38" s="370"/>
      <c r="AD38" s="370"/>
      <c r="AE38" s="370"/>
      <c r="AF38" s="370"/>
      <c r="AG38" s="370"/>
      <c r="AH38" s="370"/>
      <c r="AI38" s="370"/>
      <c r="AJ38" s="366"/>
      <c r="AK38" s="366"/>
      <c r="AL38" s="360"/>
      <c r="AM38" s="305" t="s">
        <v>823</v>
      </c>
      <c r="AN38" s="305"/>
      <c r="AO38" s="305"/>
      <c r="AP38" s="305"/>
      <c r="AQ38" s="305"/>
      <c r="AR38" s="305"/>
      <c r="AS38" s="305"/>
      <c r="AT38" s="305"/>
      <c r="AU38" s="305"/>
      <c r="AV38" s="305"/>
    </row>
    <row r="39" spans="1:48" s="306" customFormat="1" ht="40.5" hidden="1">
      <c r="A39" s="308" t="s">
        <v>414</v>
      </c>
      <c r="B39" s="363" t="s">
        <v>617</v>
      </c>
      <c r="C39" s="352" t="s">
        <v>794</v>
      </c>
      <c r="D39" s="284"/>
      <c r="E39" s="284"/>
      <c r="F39" s="284"/>
      <c r="G39" s="284"/>
      <c r="H39" s="284"/>
      <c r="I39" s="284"/>
      <c r="J39" s="366">
        <v>1</v>
      </c>
      <c r="K39" s="370">
        <f t="shared" si="6"/>
        <v>0.42553191489361714</v>
      </c>
      <c r="L39" s="371">
        <v>6</v>
      </c>
      <c r="M39" s="371"/>
      <c r="N39" s="366">
        <f t="shared" si="2"/>
        <v>1</v>
      </c>
      <c r="O39" s="370">
        <f t="shared" si="3"/>
        <v>0</v>
      </c>
      <c r="P39" s="370">
        <f t="shared" si="4"/>
        <v>0</v>
      </c>
      <c r="Q39" s="366">
        <f t="shared" si="7"/>
        <v>1</v>
      </c>
      <c r="R39" s="370">
        <f t="shared" si="0"/>
        <v>0</v>
      </c>
      <c r="S39" s="366">
        <f t="shared" si="8"/>
        <v>0</v>
      </c>
      <c r="T39" s="366">
        <v>0</v>
      </c>
      <c r="U39" s="370">
        <f t="shared" si="5"/>
        <v>0</v>
      </c>
      <c r="V39" s="370"/>
      <c r="W39" s="372"/>
      <c r="X39" s="370"/>
      <c r="Y39" s="370"/>
      <c r="Z39" s="370"/>
      <c r="AA39" s="370"/>
      <c r="AB39" s="370"/>
      <c r="AC39" s="370"/>
      <c r="AD39" s="370"/>
      <c r="AE39" s="370"/>
      <c r="AF39" s="370"/>
      <c r="AG39" s="370"/>
      <c r="AH39" s="370"/>
      <c r="AI39" s="370"/>
      <c r="AJ39" s="366"/>
      <c r="AK39" s="366"/>
      <c r="AL39" s="360"/>
      <c r="AN39" s="305"/>
      <c r="AO39" s="305"/>
      <c r="AP39" s="305"/>
      <c r="AQ39" s="305"/>
      <c r="AR39" s="305"/>
      <c r="AS39" s="305"/>
      <c r="AT39" s="305"/>
      <c r="AU39" s="305"/>
      <c r="AV39" s="305"/>
    </row>
    <row r="40" spans="1:48" s="306" customFormat="1" ht="39" hidden="1">
      <c r="A40" s="308" t="s">
        <v>416</v>
      </c>
      <c r="B40" s="304" t="s">
        <v>540</v>
      </c>
      <c r="C40" s="341" t="s">
        <v>797</v>
      </c>
      <c r="D40" s="284"/>
      <c r="E40" s="284"/>
      <c r="F40" s="284"/>
      <c r="G40" s="284"/>
      <c r="H40" s="284"/>
      <c r="I40" s="284"/>
      <c r="J40" s="366">
        <v>1</v>
      </c>
      <c r="K40" s="370">
        <f t="shared" si="6"/>
        <v>0.42553191489361714</v>
      </c>
      <c r="L40" s="371">
        <v>6</v>
      </c>
      <c r="M40" s="371">
        <v>0</v>
      </c>
      <c r="N40" s="366">
        <f t="shared" si="2"/>
        <v>1</v>
      </c>
      <c r="O40" s="370">
        <f t="shared" si="3"/>
        <v>0</v>
      </c>
      <c r="P40" s="370">
        <f t="shared" si="4"/>
        <v>0</v>
      </c>
      <c r="Q40" s="366">
        <f t="shared" si="7"/>
        <v>1</v>
      </c>
      <c r="R40" s="370">
        <f t="shared" si="0"/>
        <v>0</v>
      </c>
      <c r="S40" s="366">
        <f t="shared" si="8"/>
        <v>0</v>
      </c>
      <c r="T40" s="366">
        <v>0</v>
      </c>
      <c r="U40" s="370">
        <f t="shared" si="5"/>
        <v>0</v>
      </c>
      <c r="V40" s="370"/>
      <c r="W40" s="372"/>
      <c r="X40" s="370"/>
      <c r="Y40" s="370"/>
      <c r="Z40" s="370"/>
      <c r="AA40" s="370"/>
      <c r="AB40" s="370"/>
      <c r="AC40" s="370"/>
      <c r="AD40" s="370"/>
      <c r="AE40" s="370"/>
      <c r="AF40" s="370"/>
      <c r="AG40" s="370"/>
      <c r="AH40" s="370"/>
      <c r="AI40" s="370"/>
      <c r="AJ40" s="366"/>
      <c r="AK40" s="366"/>
      <c r="AL40" s="360"/>
      <c r="AM40" s="305" t="s">
        <v>820</v>
      </c>
      <c r="AN40" s="305"/>
      <c r="AO40" s="305"/>
      <c r="AP40" s="305"/>
      <c r="AQ40" s="305"/>
      <c r="AR40" s="305"/>
      <c r="AS40" s="305"/>
      <c r="AT40" s="305"/>
      <c r="AU40" s="305"/>
      <c r="AV40" s="305"/>
    </row>
    <row r="41" spans="1:48" s="306" customFormat="1" ht="40.5" hidden="1">
      <c r="A41" s="308" t="s">
        <v>417</v>
      </c>
      <c r="B41" s="363" t="s">
        <v>618</v>
      </c>
      <c r="C41" s="352" t="s">
        <v>794</v>
      </c>
      <c r="D41" s="284"/>
      <c r="E41" s="284"/>
      <c r="F41" s="284"/>
      <c r="G41" s="284"/>
      <c r="H41" s="284"/>
      <c r="I41" s="284"/>
      <c r="J41" s="366">
        <v>1</v>
      </c>
      <c r="K41" s="370">
        <f t="shared" si="6"/>
        <v>0.85106382978723427</v>
      </c>
      <c r="L41" s="371">
        <v>12</v>
      </c>
      <c r="M41" s="371"/>
      <c r="N41" s="366">
        <f t="shared" si="2"/>
        <v>1</v>
      </c>
      <c r="O41" s="370">
        <f t="shared" si="3"/>
        <v>0</v>
      </c>
      <c r="P41" s="370">
        <f t="shared" si="4"/>
        <v>0</v>
      </c>
      <c r="Q41" s="366">
        <f t="shared" si="7"/>
        <v>1</v>
      </c>
      <c r="R41" s="370">
        <f t="shared" si="0"/>
        <v>0</v>
      </c>
      <c r="S41" s="366">
        <f t="shared" si="8"/>
        <v>0</v>
      </c>
      <c r="T41" s="366">
        <v>0</v>
      </c>
      <c r="U41" s="370">
        <f t="shared" si="5"/>
        <v>0</v>
      </c>
      <c r="V41" s="370"/>
      <c r="W41" s="372"/>
      <c r="X41" s="370"/>
      <c r="Y41" s="370"/>
      <c r="Z41" s="370"/>
      <c r="AA41" s="370"/>
      <c r="AB41" s="370"/>
      <c r="AC41" s="370"/>
      <c r="AD41" s="370"/>
      <c r="AE41" s="370"/>
      <c r="AF41" s="370"/>
      <c r="AG41" s="370"/>
      <c r="AH41" s="370"/>
      <c r="AI41" s="370"/>
      <c r="AJ41" s="366"/>
      <c r="AK41" s="366"/>
      <c r="AL41" s="360"/>
      <c r="AM41" s="305"/>
      <c r="AN41" s="305"/>
      <c r="AO41" s="305"/>
      <c r="AP41" s="305"/>
      <c r="AQ41" s="305"/>
      <c r="AR41" s="305"/>
      <c r="AS41" s="305"/>
      <c r="AT41" s="305"/>
      <c r="AU41" s="305"/>
      <c r="AV41" s="305"/>
    </row>
    <row r="42" spans="1:48" s="306" customFormat="1" ht="39">
      <c r="A42" s="308" t="s">
        <v>419</v>
      </c>
      <c r="B42" s="304" t="s">
        <v>540</v>
      </c>
      <c r="C42" s="341" t="s">
        <v>797</v>
      </c>
      <c r="D42" s="284"/>
      <c r="E42" s="284"/>
      <c r="F42" s="284"/>
      <c r="G42" s="284"/>
      <c r="H42" s="284"/>
      <c r="I42" s="284"/>
      <c r="J42" s="366">
        <v>1</v>
      </c>
      <c r="K42" s="370">
        <f t="shared" si="6"/>
        <v>0.85106382978723427</v>
      </c>
      <c r="L42" s="371">
        <v>12</v>
      </c>
      <c r="M42" s="371">
        <v>8.51</v>
      </c>
      <c r="N42" s="366">
        <f t="shared" si="2"/>
        <v>1</v>
      </c>
      <c r="O42" s="370">
        <f t="shared" si="3"/>
        <v>1.2070921985815604</v>
      </c>
      <c r="P42" s="370">
        <f t="shared" si="4"/>
        <v>8.51</v>
      </c>
      <c r="Q42" s="366">
        <f t="shared" si="7"/>
        <v>1</v>
      </c>
      <c r="R42" s="370">
        <f t="shared" si="0"/>
        <v>1.2070921985815604</v>
      </c>
      <c r="S42" s="366">
        <f t="shared" si="8"/>
        <v>100</v>
      </c>
      <c r="T42" s="366">
        <v>7.49</v>
      </c>
      <c r="U42" s="370">
        <f t="shared" si="5"/>
        <v>88.014101057579325</v>
      </c>
      <c r="V42" s="370"/>
      <c r="W42" s="372"/>
      <c r="X42" s="370"/>
      <c r="Y42" s="370"/>
      <c r="Z42" s="370"/>
      <c r="AA42" s="370"/>
      <c r="AB42" s="370"/>
      <c r="AC42" s="370"/>
      <c r="AD42" s="370"/>
      <c r="AE42" s="370"/>
      <c r="AF42" s="370"/>
      <c r="AG42" s="370"/>
      <c r="AH42" s="370"/>
      <c r="AI42" s="370"/>
      <c r="AJ42" s="366"/>
      <c r="AK42" s="366"/>
      <c r="AL42" s="360"/>
      <c r="AM42" s="305" t="s">
        <v>823</v>
      </c>
      <c r="AN42" s="305"/>
      <c r="AO42" s="305"/>
      <c r="AP42" s="305"/>
      <c r="AQ42" s="305"/>
      <c r="AR42" s="305"/>
      <c r="AS42" s="305"/>
      <c r="AT42" s="305"/>
      <c r="AU42" s="305"/>
      <c r="AV42" s="305"/>
    </row>
    <row r="43" spans="1:48" s="306" customFormat="1" ht="40.5" hidden="1">
      <c r="A43" s="308" t="s">
        <v>420</v>
      </c>
      <c r="B43" s="363" t="s">
        <v>619</v>
      </c>
      <c r="C43" s="283" t="s">
        <v>794</v>
      </c>
      <c r="D43" s="284"/>
      <c r="E43" s="284"/>
      <c r="F43" s="284"/>
      <c r="G43" s="284"/>
      <c r="H43" s="284"/>
      <c r="I43" s="284"/>
      <c r="J43" s="366">
        <v>1</v>
      </c>
      <c r="K43" s="370">
        <f t="shared" si="6"/>
        <v>0.42553191489361714</v>
      </c>
      <c r="L43" s="371">
        <v>6</v>
      </c>
      <c r="M43" s="371"/>
      <c r="N43" s="366">
        <f t="shared" si="2"/>
        <v>1</v>
      </c>
      <c r="O43" s="370">
        <f t="shared" si="3"/>
        <v>0</v>
      </c>
      <c r="P43" s="370">
        <f t="shared" si="4"/>
        <v>0</v>
      </c>
      <c r="Q43" s="366">
        <f t="shared" si="7"/>
        <v>1</v>
      </c>
      <c r="R43" s="370">
        <f t="shared" si="0"/>
        <v>0</v>
      </c>
      <c r="S43" s="366">
        <f t="shared" si="8"/>
        <v>0</v>
      </c>
      <c r="T43" s="366">
        <v>0</v>
      </c>
      <c r="U43" s="370">
        <f t="shared" si="5"/>
        <v>0</v>
      </c>
      <c r="V43" s="370"/>
      <c r="W43" s="372"/>
      <c r="X43" s="370"/>
      <c r="Y43" s="370"/>
      <c r="Z43" s="370"/>
      <c r="AA43" s="370"/>
      <c r="AB43" s="370"/>
      <c r="AC43" s="370"/>
      <c r="AD43" s="370"/>
      <c r="AE43" s="370"/>
      <c r="AF43" s="370"/>
      <c r="AG43" s="370"/>
      <c r="AH43" s="370"/>
      <c r="AI43" s="370"/>
      <c r="AJ43" s="366"/>
      <c r="AK43" s="366"/>
      <c r="AL43" s="360"/>
      <c r="AM43" s="305"/>
      <c r="AN43" s="305"/>
      <c r="AO43" s="305"/>
      <c r="AP43" s="305"/>
      <c r="AQ43" s="305"/>
      <c r="AR43" s="305"/>
      <c r="AS43" s="305"/>
      <c r="AT43" s="305"/>
      <c r="AU43" s="305"/>
      <c r="AV43" s="305"/>
    </row>
    <row r="44" spans="1:48" s="306" customFormat="1" ht="39">
      <c r="A44" s="308" t="s">
        <v>422</v>
      </c>
      <c r="B44" s="304" t="s">
        <v>540</v>
      </c>
      <c r="C44" s="283" t="s">
        <v>797</v>
      </c>
      <c r="D44" s="284"/>
      <c r="E44" s="284"/>
      <c r="F44" s="284"/>
      <c r="G44" s="284"/>
      <c r="H44" s="284"/>
      <c r="I44" s="284"/>
      <c r="J44" s="366">
        <v>1</v>
      </c>
      <c r="K44" s="370">
        <f t="shared" si="6"/>
        <v>0.42553191489361714</v>
      </c>
      <c r="L44" s="371">
        <v>6</v>
      </c>
      <c r="M44" s="371">
        <v>0</v>
      </c>
      <c r="N44" s="366">
        <f t="shared" si="2"/>
        <v>1</v>
      </c>
      <c r="O44" s="370">
        <f t="shared" si="3"/>
        <v>0</v>
      </c>
      <c r="P44" s="370">
        <f t="shared" si="4"/>
        <v>0</v>
      </c>
      <c r="Q44" s="366">
        <f t="shared" si="7"/>
        <v>1</v>
      </c>
      <c r="R44" s="370">
        <f t="shared" si="0"/>
        <v>0</v>
      </c>
      <c r="S44" s="366">
        <f t="shared" si="8"/>
        <v>0</v>
      </c>
      <c r="T44" s="366">
        <v>0</v>
      </c>
      <c r="U44" s="370">
        <f t="shared" si="5"/>
        <v>0</v>
      </c>
      <c r="V44" s="370"/>
      <c r="W44" s="372"/>
      <c r="X44" s="370"/>
      <c r="Y44" s="370"/>
      <c r="Z44" s="370"/>
      <c r="AA44" s="370"/>
      <c r="AB44" s="370"/>
      <c r="AC44" s="370"/>
      <c r="AD44" s="370"/>
      <c r="AE44" s="370"/>
      <c r="AF44" s="370"/>
      <c r="AG44" s="370"/>
      <c r="AH44" s="370"/>
      <c r="AI44" s="370"/>
      <c r="AJ44" s="366"/>
      <c r="AK44" s="366"/>
      <c r="AL44" s="360"/>
      <c r="AM44" s="305" t="s">
        <v>823</v>
      </c>
      <c r="AN44" s="305"/>
      <c r="AO44" s="305"/>
      <c r="AP44" s="305"/>
      <c r="AQ44" s="305"/>
      <c r="AR44" s="305"/>
      <c r="AS44" s="305"/>
      <c r="AT44" s="305"/>
      <c r="AU44" s="305"/>
      <c r="AV44" s="305"/>
    </row>
    <row r="45" spans="1:48" s="306" customFormat="1" ht="40.5" hidden="1">
      <c r="A45" s="308" t="s">
        <v>423</v>
      </c>
      <c r="B45" s="363" t="s">
        <v>620</v>
      </c>
      <c r="C45" s="283" t="s">
        <v>794</v>
      </c>
      <c r="D45" s="284"/>
      <c r="E45" s="284"/>
      <c r="F45" s="284"/>
      <c r="G45" s="284"/>
      <c r="H45" s="284"/>
      <c r="I45" s="284"/>
      <c r="J45" s="366">
        <v>1</v>
      </c>
      <c r="K45" s="370">
        <f t="shared" si="6"/>
        <v>0.42553191489361714</v>
      </c>
      <c r="L45" s="371">
        <v>6</v>
      </c>
      <c r="M45" s="371"/>
      <c r="N45" s="366">
        <f t="shared" si="2"/>
        <v>1</v>
      </c>
      <c r="O45" s="370">
        <f t="shared" si="3"/>
        <v>0</v>
      </c>
      <c r="P45" s="370">
        <f t="shared" si="4"/>
        <v>0</v>
      </c>
      <c r="Q45" s="366">
        <f t="shared" si="7"/>
        <v>1</v>
      </c>
      <c r="R45" s="370">
        <f t="shared" si="0"/>
        <v>0</v>
      </c>
      <c r="S45" s="366">
        <f t="shared" si="8"/>
        <v>0</v>
      </c>
      <c r="T45" s="366">
        <v>0</v>
      </c>
      <c r="U45" s="370">
        <f t="shared" si="5"/>
        <v>0</v>
      </c>
      <c r="V45" s="370">
        <v>0.34</v>
      </c>
      <c r="W45" s="372">
        <v>0.82</v>
      </c>
      <c r="X45" s="370">
        <v>10</v>
      </c>
      <c r="Y45" s="370">
        <f t="shared" ref="Y45:Y46" si="11">V45</f>
        <v>0.34</v>
      </c>
      <c r="Z45" s="370"/>
      <c r="AA45" s="370">
        <v>0.34</v>
      </c>
      <c r="AB45" s="370"/>
      <c r="AC45" s="370"/>
      <c r="AD45" s="370"/>
      <c r="AE45" s="370"/>
      <c r="AF45" s="370"/>
      <c r="AG45" s="370"/>
      <c r="AH45" s="370">
        <v>1</v>
      </c>
      <c r="AI45" s="370">
        <f>K45/J45*AH45</f>
        <v>0.42553191489361714</v>
      </c>
      <c r="AJ45" s="366"/>
      <c r="AK45" s="366"/>
      <c r="AL45" s="360"/>
      <c r="AM45" s="305"/>
      <c r="AN45" s="305"/>
      <c r="AO45" s="305"/>
      <c r="AP45" s="305"/>
      <c r="AQ45" s="305"/>
      <c r="AR45" s="305"/>
      <c r="AS45" s="305"/>
      <c r="AT45" s="305"/>
      <c r="AU45" s="305"/>
      <c r="AV45" s="305"/>
    </row>
    <row r="46" spans="1:48" s="306" customFormat="1" ht="39">
      <c r="A46" s="308" t="s">
        <v>425</v>
      </c>
      <c r="B46" s="304" t="s">
        <v>540</v>
      </c>
      <c r="C46" s="283" t="s">
        <v>797</v>
      </c>
      <c r="D46" s="284"/>
      <c r="E46" s="284"/>
      <c r="F46" s="284"/>
      <c r="G46" s="284"/>
      <c r="H46" s="284"/>
      <c r="I46" s="284"/>
      <c r="J46" s="366">
        <v>1</v>
      </c>
      <c r="K46" s="370">
        <f t="shared" si="6"/>
        <v>0.42553191489361714</v>
      </c>
      <c r="L46" s="371">
        <v>6</v>
      </c>
      <c r="M46" s="371">
        <v>0</v>
      </c>
      <c r="N46" s="366">
        <f t="shared" si="2"/>
        <v>1</v>
      </c>
      <c r="O46" s="370">
        <f t="shared" si="3"/>
        <v>0</v>
      </c>
      <c r="P46" s="370">
        <f t="shared" si="4"/>
        <v>0</v>
      </c>
      <c r="Q46" s="366">
        <f t="shared" si="7"/>
        <v>1</v>
      </c>
      <c r="R46" s="370">
        <f t="shared" si="0"/>
        <v>0</v>
      </c>
      <c r="S46" s="366">
        <f t="shared" si="8"/>
        <v>0</v>
      </c>
      <c r="T46" s="366">
        <v>0</v>
      </c>
      <c r="U46" s="370">
        <f t="shared" si="5"/>
        <v>0</v>
      </c>
      <c r="V46" s="370">
        <v>0.34</v>
      </c>
      <c r="W46" s="372">
        <v>0.28000000000000003</v>
      </c>
      <c r="X46" s="370">
        <v>3.4</v>
      </c>
      <c r="Y46" s="370">
        <f t="shared" si="11"/>
        <v>0.34</v>
      </c>
      <c r="Z46" s="370"/>
      <c r="AA46" s="370">
        <f t="shared" si="10"/>
        <v>0.28000000000000003</v>
      </c>
      <c r="AB46" s="370"/>
      <c r="AC46" s="370"/>
      <c r="AD46" s="370"/>
      <c r="AE46" s="370"/>
      <c r="AF46" s="370"/>
      <c r="AG46" s="370"/>
      <c r="AH46" s="370">
        <v>1</v>
      </c>
      <c r="AI46" s="370">
        <f>K46/J46*AH46</f>
        <v>0.42553191489361714</v>
      </c>
      <c r="AJ46" s="366"/>
      <c r="AK46" s="366"/>
      <c r="AL46" s="360"/>
      <c r="AM46" s="305" t="s">
        <v>823</v>
      </c>
      <c r="AN46" s="305"/>
      <c r="AO46" s="305"/>
      <c r="AP46" s="305"/>
      <c r="AQ46" s="305"/>
      <c r="AR46" s="305"/>
      <c r="AS46" s="305"/>
      <c r="AT46" s="305"/>
      <c r="AU46" s="305"/>
      <c r="AV46" s="305"/>
    </row>
    <row r="47" spans="1:48" s="306" customFormat="1" ht="39" hidden="1">
      <c r="A47" s="308" t="s">
        <v>426</v>
      </c>
      <c r="B47" s="304" t="s">
        <v>621</v>
      </c>
      <c r="C47" s="283" t="s">
        <v>794</v>
      </c>
      <c r="D47" s="284"/>
      <c r="E47" s="284"/>
      <c r="F47" s="284"/>
      <c r="G47" s="284"/>
      <c r="H47" s="284"/>
      <c r="I47" s="284"/>
      <c r="J47" s="366">
        <v>1</v>
      </c>
      <c r="K47" s="370">
        <f t="shared" si="6"/>
        <v>0.85106382978723427</v>
      </c>
      <c r="L47" s="371">
        <v>12</v>
      </c>
      <c r="M47" s="371"/>
      <c r="N47" s="366">
        <f t="shared" si="2"/>
        <v>1</v>
      </c>
      <c r="O47" s="370">
        <f t="shared" si="3"/>
        <v>0</v>
      </c>
      <c r="P47" s="370">
        <f t="shared" si="4"/>
        <v>0</v>
      </c>
      <c r="Q47" s="366">
        <f t="shared" si="7"/>
        <v>1</v>
      </c>
      <c r="R47" s="370">
        <f t="shared" si="0"/>
        <v>0</v>
      </c>
      <c r="S47" s="366">
        <f t="shared" si="8"/>
        <v>0</v>
      </c>
      <c r="T47" s="366">
        <v>0</v>
      </c>
      <c r="U47" s="370">
        <f t="shared" si="5"/>
        <v>0</v>
      </c>
      <c r="V47" s="370"/>
      <c r="W47" s="372"/>
      <c r="X47" s="370"/>
      <c r="Y47" s="370"/>
      <c r="Z47" s="370"/>
      <c r="AA47" s="370"/>
      <c r="AB47" s="370"/>
      <c r="AC47" s="370"/>
      <c r="AD47" s="370"/>
      <c r="AE47" s="370"/>
      <c r="AF47" s="370"/>
      <c r="AG47" s="370"/>
      <c r="AH47" s="370"/>
      <c r="AI47" s="370"/>
      <c r="AJ47" s="366"/>
      <c r="AK47" s="366"/>
      <c r="AL47" s="360"/>
      <c r="AM47" s="305"/>
      <c r="AN47" s="305"/>
      <c r="AO47" s="305"/>
      <c r="AP47" s="305"/>
      <c r="AQ47" s="305"/>
      <c r="AR47" s="305"/>
      <c r="AS47" s="305"/>
      <c r="AT47" s="305"/>
      <c r="AU47" s="305"/>
      <c r="AV47" s="305"/>
    </row>
    <row r="48" spans="1:48" s="306" customFormat="1" ht="39">
      <c r="A48" s="308" t="s">
        <v>428</v>
      </c>
      <c r="B48" s="304" t="s">
        <v>540</v>
      </c>
      <c r="C48" s="283" t="s">
        <v>797</v>
      </c>
      <c r="D48" s="284"/>
      <c r="E48" s="284"/>
      <c r="F48" s="284"/>
      <c r="G48" s="284"/>
      <c r="H48" s="284"/>
      <c r="I48" s="284"/>
      <c r="J48" s="366">
        <v>1</v>
      </c>
      <c r="K48" s="370">
        <f t="shared" si="6"/>
        <v>0.85106382978723427</v>
      </c>
      <c r="L48" s="371">
        <v>12</v>
      </c>
      <c r="M48" s="371">
        <v>0</v>
      </c>
      <c r="N48" s="366">
        <f t="shared" si="2"/>
        <v>1</v>
      </c>
      <c r="O48" s="370">
        <f t="shared" si="3"/>
        <v>0</v>
      </c>
      <c r="P48" s="370">
        <f t="shared" si="4"/>
        <v>0</v>
      </c>
      <c r="Q48" s="366">
        <f t="shared" si="7"/>
        <v>1</v>
      </c>
      <c r="R48" s="370">
        <f t="shared" si="0"/>
        <v>0</v>
      </c>
      <c r="S48" s="366">
        <f t="shared" si="8"/>
        <v>0</v>
      </c>
      <c r="T48" s="366">
        <v>0</v>
      </c>
      <c r="U48" s="370">
        <f t="shared" si="5"/>
        <v>0</v>
      </c>
      <c r="V48" s="370"/>
      <c r="W48" s="372"/>
      <c r="X48" s="370"/>
      <c r="Y48" s="370"/>
      <c r="Z48" s="370"/>
      <c r="AA48" s="370"/>
      <c r="AB48" s="370"/>
      <c r="AC48" s="370"/>
      <c r="AD48" s="370"/>
      <c r="AE48" s="370"/>
      <c r="AF48" s="370"/>
      <c r="AG48" s="370"/>
      <c r="AH48" s="370"/>
      <c r="AI48" s="370"/>
      <c r="AJ48" s="366"/>
      <c r="AK48" s="366"/>
      <c r="AL48" s="360"/>
      <c r="AM48" s="305" t="s">
        <v>823</v>
      </c>
      <c r="AN48" s="305"/>
      <c r="AO48" s="305"/>
      <c r="AP48" s="305"/>
      <c r="AQ48" s="305"/>
      <c r="AR48" s="305"/>
      <c r="AS48" s="305"/>
      <c r="AT48" s="305"/>
      <c r="AU48" s="305"/>
      <c r="AV48" s="305"/>
    </row>
    <row r="49" spans="1:48" s="306" customFormat="1" ht="39" hidden="1">
      <c r="A49" s="308" t="s">
        <v>429</v>
      </c>
      <c r="B49" s="304" t="s">
        <v>622</v>
      </c>
      <c r="C49" s="283" t="s">
        <v>794</v>
      </c>
      <c r="D49" s="284"/>
      <c r="E49" s="284"/>
      <c r="F49" s="284"/>
      <c r="G49" s="284"/>
      <c r="H49" s="284"/>
      <c r="I49" s="284"/>
      <c r="J49" s="366">
        <v>1</v>
      </c>
      <c r="K49" s="370">
        <f t="shared" si="6"/>
        <v>4.255319148936171</v>
      </c>
      <c r="L49" s="371">
        <v>60</v>
      </c>
      <c r="M49" s="371"/>
      <c r="N49" s="366">
        <f t="shared" si="2"/>
        <v>1</v>
      </c>
      <c r="O49" s="370">
        <f t="shared" si="3"/>
        <v>0</v>
      </c>
      <c r="P49" s="370">
        <f t="shared" si="4"/>
        <v>0</v>
      </c>
      <c r="Q49" s="366">
        <f t="shared" si="7"/>
        <v>1</v>
      </c>
      <c r="R49" s="370">
        <f t="shared" si="0"/>
        <v>0</v>
      </c>
      <c r="S49" s="366">
        <f t="shared" si="8"/>
        <v>0</v>
      </c>
      <c r="T49" s="366">
        <v>0</v>
      </c>
      <c r="U49" s="370">
        <f t="shared" si="5"/>
        <v>0</v>
      </c>
      <c r="V49" s="370"/>
      <c r="W49" s="372"/>
      <c r="X49" s="370"/>
      <c r="Y49" s="370"/>
      <c r="Z49" s="370"/>
      <c r="AA49" s="370"/>
      <c r="AB49" s="370"/>
      <c r="AC49" s="370"/>
      <c r="AD49" s="370"/>
      <c r="AE49" s="370"/>
      <c r="AF49" s="370"/>
      <c r="AG49" s="370"/>
      <c r="AH49" s="370"/>
      <c r="AI49" s="370"/>
      <c r="AJ49" s="366"/>
      <c r="AK49" s="366"/>
      <c r="AL49" s="360"/>
      <c r="AM49" s="305"/>
      <c r="AN49" s="305"/>
      <c r="AO49" s="305"/>
      <c r="AP49" s="305"/>
      <c r="AQ49" s="305"/>
      <c r="AR49" s="305"/>
      <c r="AS49" s="305"/>
      <c r="AT49" s="305"/>
      <c r="AU49" s="305"/>
      <c r="AV49" s="305"/>
    </row>
    <row r="50" spans="1:48" s="306" customFormat="1" ht="39">
      <c r="A50" s="308" t="s">
        <v>431</v>
      </c>
      <c r="B50" s="304" t="s">
        <v>540</v>
      </c>
      <c r="C50" s="283" t="s">
        <v>797</v>
      </c>
      <c r="D50" s="284"/>
      <c r="E50" s="284"/>
      <c r="F50" s="284"/>
      <c r="G50" s="284"/>
      <c r="H50" s="284"/>
      <c r="I50" s="284"/>
      <c r="J50" s="366">
        <v>1</v>
      </c>
      <c r="K50" s="370">
        <f t="shared" si="6"/>
        <v>4.255319148936171</v>
      </c>
      <c r="L50" s="371">
        <v>60</v>
      </c>
      <c r="M50" s="371">
        <v>0</v>
      </c>
      <c r="N50" s="366">
        <f t="shared" si="2"/>
        <v>1</v>
      </c>
      <c r="O50" s="370">
        <f t="shared" si="3"/>
        <v>0</v>
      </c>
      <c r="P50" s="370">
        <f t="shared" si="4"/>
        <v>0</v>
      </c>
      <c r="Q50" s="366">
        <f t="shared" si="7"/>
        <v>1</v>
      </c>
      <c r="R50" s="370">
        <f t="shared" si="0"/>
        <v>0</v>
      </c>
      <c r="S50" s="366">
        <f t="shared" si="8"/>
        <v>0</v>
      </c>
      <c r="T50" s="366">
        <v>0</v>
      </c>
      <c r="U50" s="370">
        <f t="shared" si="5"/>
        <v>0</v>
      </c>
      <c r="V50" s="370"/>
      <c r="W50" s="372"/>
      <c r="X50" s="370"/>
      <c r="Y50" s="370"/>
      <c r="Z50" s="370"/>
      <c r="AA50" s="370"/>
      <c r="AB50" s="370"/>
      <c r="AC50" s="370"/>
      <c r="AD50" s="370"/>
      <c r="AE50" s="370"/>
      <c r="AF50" s="370"/>
      <c r="AG50" s="370"/>
      <c r="AH50" s="370"/>
      <c r="AI50" s="370"/>
      <c r="AJ50" s="366"/>
      <c r="AK50" s="366"/>
      <c r="AL50" s="360"/>
      <c r="AM50" s="305" t="s">
        <v>823</v>
      </c>
      <c r="AN50" s="305"/>
      <c r="AO50" s="305"/>
      <c r="AP50" s="305"/>
      <c r="AQ50" s="305"/>
      <c r="AR50" s="305"/>
      <c r="AS50" s="305"/>
      <c r="AT50" s="305"/>
      <c r="AU50" s="305"/>
      <c r="AV50" s="305"/>
    </row>
    <row r="51" spans="1:48" s="306" customFormat="1" ht="58.5" hidden="1">
      <c r="A51" s="308" t="s">
        <v>432</v>
      </c>
      <c r="B51" s="304" t="s">
        <v>623</v>
      </c>
      <c r="C51" s="283" t="s">
        <v>794</v>
      </c>
      <c r="D51" s="284"/>
      <c r="E51" s="284"/>
      <c r="F51" s="284"/>
      <c r="G51" s="284"/>
      <c r="H51" s="284"/>
      <c r="I51" s="284"/>
      <c r="J51" s="366">
        <v>1</v>
      </c>
      <c r="K51" s="370">
        <f t="shared" si="6"/>
        <v>0.28368794326241142</v>
      </c>
      <c r="L51" s="371">
        <v>4</v>
      </c>
      <c r="M51" s="371"/>
      <c r="N51" s="366">
        <f t="shared" si="2"/>
        <v>1</v>
      </c>
      <c r="O51" s="370">
        <f t="shared" si="3"/>
        <v>0</v>
      </c>
      <c r="P51" s="370">
        <f t="shared" si="4"/>
        <v>0</v>
      </c>
      <c r="Q51" s="366">
        <f t="shared" si="7"/>
        <v>1</v>
      </c>
      <c r="R51" s="370">
        <f t="shared" si="0"/>
        <v>0</v>
      </c>
      <c r="S51" s="366">
        <f t="shared" si="8"/>
        <v>0</v>
      </c>
      <c r="T51" s="366">
        <v>0</v>
      </c>
      <c r="U51" s="370">
        <f t="shared" si="5"/>
        <v>0</v>
      </c>
      <c r="V51" s="370"/>
      <c r="W51" s="372"/>
      <c r="X51" s="370"/>
      <c r="Y51" s="370"/>
      <c r="Z51" s="370"/>
      <c r="AA51" s="370"/>
      <c r="AB51" s="370"/>
      <c r="AC51" s="370"/>
      <c r="AD51" s="370"/>
      <c r="AE51" s="370"/>
      <c r="AF51" s="370"/>
      <c r="AG51" s="370"/>
      <c r="AH51" s="370"/>
      <c r="AI51" s="370"/>
      <c r="AJ51" s="366"/>
      <c r="AK51" s="366"/>
      <c r="AL51" s="360"/>
      <c r="AM51" s="305"/>
      <c r="AN51" s="305"/>
      <c r="AO51" s="305"/>
      <c r="AP51" s="305"/>
      <c r="AQ51" s="305"/>
      <c r="AR51" s="305"/>
      <c r="AS51" s="305"/>
      <c r="AT51" s="305"/>
      <c r="AU51" s="305"/>
      <c r="AV51" s="305"/>
    </row>
    <row r="52" spans="1:48" s="306" customFormat="1" ht="39">
      <c r="A52" s="308" t="s">
        <v>434</v>
      </c>
      <c r="B52" s="304" t="s">
        <v>540</v>
      </c>
      <c r="C52" s="283" t="s">
        <v>797</v>
      </c>
      <c r="D52" s="284"/>
      <c r="E52" s="284"/>
      <c r="F52" s="284"/>
      <c r="G52" s="284"/>
      <c r="H52" s="284"/>
      <c r="I52" s="284"/>
      <c r="J52" s="366">
        <v>1</v>
      </c>
      <c r="K52" s="370">
        <f t="shared" si="6"/>
        <v>0.28368794326241142</v>
      </c>
      <c r="L52" s="371">
        <v>4</v>
      </c>
      <c r="M52" s="371">
        <v>0</v>
      </c>
      <c r="N52" s="366">
        <f t="shared" si="2"/>
        <v>1</v>
      </c>
      <c r="O52" s="370">
        <f t="shared" si="3"/>
        <v>0</v>
      </c>
      <c r="P52" s="370">
        <f t="shared" si="4"/>
        <v>0</v>
      </c>
      <c r="Q52" s="366">
        <f t="shared" si="7"/>
        <v>1</v>
      </c>
      <c r="R52" s="370">
        <f t="shared" si="0"/>
        <v>0</v>
      </c>
      <c r="S52" s="366">
        <f t="shared" si="8"/>
        <v>0</v>
      </c>
      <c r="T52" s="366">
        <v>0</v>
      </c>
      <c r="U52" s="370">
        <f t="shared" si="5"/>
        <v>0</v>
      </c>
      <c r="V52" s="370"/>
      <c r="W52" s="372"/>
      <c r="X52" s="370"/>
      <c r="Y52" s="370"/>
      <c r="Z52" s="370"/>
      <c r="AA52" s="370"/>
      <c r="AB52" s="370"/>
      <c r="AC52" s="370"/>
      <c r="AD52" s="370"/>
      <c r="AE52" s="370"/>
      <c r="AF52" s="370"/>
      <c r="AG52" s="370"/>
      <c r="AH52" s="370"/>
      <c r="AI52" s="370"/>
      <c r="AJ52" s="366"/>
      <c r="AK52" s="366"/>
      <c r="AL52" s="360"/>
      <c r="AM52" s="305" t="s">
        <v>823</v>
      </c>
      <c r="AN52" s="305"/>
      <c r="AO52" s="305"/>
      <c r="AP52" s="305"/>
      <c r="AQ52" s="305"/>
      <c r="AR52" s="305"/>
      <c r="AS52" s="305"/>
      <c r="AT52" s="305"/>
      <c r="AU52" s="305"/>
      <c r="AV52" s="305"/>
    </row>
    <row r="53" spans="1:48" s="306" customFormat="1" ht="58.5" hidden="1">
      <c r="A53" s="308" t="s">
        <v>435</v>
      </c>
      <c r="B53" s="304" t="s">
        <v>624</v>
      </c>
      <c r="C53" s="283" t="s">
        <v>794</v>
      </c>
      <c r="D53" s="284"/>
      <c r="E53" s="284"/>
      <c r="F53" s="284"/>
      <c r="G53" s="284"/>
      <c r="H53" s="284"/>
      <c r="I53" s="284"/>
      <c r="J53" s="366">
        <v>1</v>
      </c>
      <c r="K53" s="370">
        <f t="shared" si="6"/>
        <v>0.28368794326241142</v>
      </c>
      <c r="L53" s="371">
        <v>4</v>
      </c>
      <c r="M53" s="371"/>
      <c r="N53" s="366">
        <f t="shared" si="2"/>
        <v>1</v>
      </c>
      <c r="O53" s="370">
        <f t="shared" si="3"/>
        <v>0</v>
      </c>
      <c r="P53" s="370">
        <f t="shared" si="4"/>
        <v>0</v>
      </c>
      <c r="Q53" s="366">
        <f t="shared" si="7"/>
        <v>1</v>
      </c>
      <c r="R53" s="370">
        <f t="shared" si="0"/>
        <v>0</v>
      </c>
      <c r="S53" s="366">
        <f t="shared" si="8"/>
        <v>0</v>
      </c>
      <c r="T53" s="366">
        <v>0</v>
      </c>
      <c r="U53" s="370">
        <f t="shared" si="5"/>
        <v>0</v>
      </c>
      <c r="V53" s="370"/>
      <c r="W53" s="372"/>
      <c r="X53" s="370"/>
      <c r="Y53" s="370"/>
      <c r="Z53" s="370"/>
      <c r="AA53" s="370"/>
      <c r="AB53" s="370"/>
      <c r="AC53" s="370"/>
      <c r="AD53" s="370"/>
      <c r="AE53" s="370"/>
      <c r="AF53" s="370"/>
      <c r="AG53" s="370"/>
      <c r="AH53" s="370"/>
      <c r="AI53" s="370"/>
      <c r="AJ53" s="366"/>
      <c r="AK53" s="366"/>
      <c r="AL53" s="360"/>
      <c r="AM53" s="305"/>
      <c r="AN53" s="305"/>
      <c r="AO53" s="305"/>
      <c r="AP53" s="305"/>
      <c r="AQ53" s="305"/>
      <c r="AR53" s="305"/>
      <c r="AS53" s="305"/>
      <c r="AT53" s="305"/>
      <c r="AU53" s="305"/>
      <c r="AV53" s="305"/>
    </row>
    <row r="54" spans="1:48" s="306" customFormat="1" ht="39">
      <c r="A54" s="308" t="s">
        <v>437</v>
      </c>
      <c r="B54" s="304" t="s">
        <v>540</v>
      </c>
      <c r="C54" s="283" t="s">
        <v>797</v>
      </c>
      <c r="D54" s="284"/>
      <c r="E54" s="284"/>
      <c r="F54" s="284"/>
      <c r="G54" s="284"/>
      <c r="H54" s="284"/>
      <c r="I54" s="284"/>
      <c r="J54" s="366">
        <v>1</v>
      </c>
      <c r="K54" s="370">
        <f t="shared" si="6"/>
        <v>0.28368794326241142</v>
      </c>
      <c r="L54" s="371">
        <v>4</v>
      </c>
      <c r="M54" s="371">
        <v>0</v>
      </c>
      <c r="N54" s="366">
        <f t="shared" si="2"/>
        <v>1</v>
      </c>
      <c r="O54" s="370">
        <f t="shared" si="3"/>
        <v>0</v>
      </c>
      <c r="P54" s="370">
        <f t="shared" si="4"/>
        <v>0</v>
      </c>
      <c r="Q54" s="366">
        <f t="shared" si="7"/>
        <v>1</v>
      </c>
      <c r="R54" s="370">
        <f t="shared" si="0"/>
        <v>0</v>
      </c>
      <c r="S54" s="366">
        <f t="shared" si="8"/>
        <v>0</v>
      </c>
      <c r="T54" s="366">
        <v>0</v>
      </c>
      <c r="U54" s="370">
        <f t="shared" si="5"/>
        <v>0</v>
      </c>
      <c r="V54" s="370"/>
      <c r="W54" s="372"/>
      <c r="X54" s="370"/>
      <c r="Y54" s="370"/>
      <c r="Z54" s="370"/>
      <c r="AA54" s="370"/>
      <c r="AB54" s="370"/>
      <c r="AC54" s="370"/>
      <c r="AD54" s="370"/>
      <c r="AE54" s="370"/>
      <c r="AF54" s="370"/>
      <c r="AG54" s="370"/>
      <c r="AH54" s="370"/>
      <c r="AI54" s="370"/>
      <c r="AJ54" s="366"/>
      <c r="AK54" s="366"/>
      <c r="AL54" s="360"/>
      <c r="AM54" s="305" t="s">
        <v>823</v>
      </c>
      <c r="AN54" s="305"/>
      <c r="AO54" s="305"/>
      <c r="AP54" s="305"/>
      <c r="AQ54" s="305"/>
      <c r="AR54" s="305"/>
      <c r="AS54" s="305"/>
      <c r="AT54" s="305"/>
      <c r="AU54" s="305"/>
      <c r="AV54" s="305"/>
    </row>
    <row r="55" spans="1:48" s="306" customFormat="1" ht="39" hidden="1">
      <c r="A55" s="308" t="s">
        <v>438</v>
      </c>
      <c r="B55" s="304" t="s">
        <v>625</v>
      </c>
      <c r="C55" s="283" t="s">
        <v>794</v>
      </c>
      <c r="D55" s="284"/>
      <c r="E55" s="284"/>
      <c r="F55" s="284"/>
      <c r="G55" s="284"/>
      <c r="H55" s="284"/>
      <c r="I55" s="284"/>
      <c r="J55" s="366">
        <v>1</v>
      </c>
      <c r="K55" s="370">
        <f t="shared" si="6"/>
        <v>0.28368794326241142</v>
      </c>
      <c r="L55" s="371">
        <v>4</v>
      </c>
      <c r="M55" s="371"/>
      <c r="N55" s="366">
        <f t="shared" si="2"/>
        <v>1</v>
      </c>
      <c r="O55" s="370">
        <f t="shared" si="3"/>
        <v>0</v>
      </c>
      <c r="P55" s="370">
        <f t="shared" si="4"/>
        <v>0</v>
      </c>
      <c r="Q55" s="366">
        <f t="shared" si="7"/>
        <v>1</v>
      </c>
      <c r="R55" s="370">
        <f t="shared" si="0"/>
        <v>0</v>
      </c>
      <c r="S55" s="366">
        <f t="shared" si="8"/>
        <v>0</v>
      </c>
      <c r="T55" s="366">
        <v>0</v>
      </c>
      <c r="U55" s="370">
        <f t="shared" si="5"/>
        <v>0</v>
      </c>
      <c r="V55" s="370"/>
      <c r="W55" s="372"/>
      <c r="X55" s="370"/>
      <c r="Y55" s="370"/>
      <c r="Z55" s="370"/>
      <c r="AA55" s="370"/>
      <c r="AB55" s="370"/>
      <c r="AC55" s="370"/>
      <c r="AD55" s="370"/>
      <c r="AE55" s="370"/>
      <c r="AF55" s="370"/>
      <c r="AG55" s="370"/>
      <c r="AH55" s="370"/>
      <c r="AI55" s="370"/>
      <c r="AJ55" s="366"/>
      <c r="AK55" s="366"/>
      <c r="AL55" s="360"/>
      <c r="AM55" s="305"/>
      <c r="AN55" s="305"/>
      <c r="AO55" s="305"/>
      <c r="AP55" s="305"/>
      <c r="AQ55" s="305"/>
      <c r="AR55" s="305"/>
      <c r="AS55" s="305"/>
      <c r="AT55" s="305"/>
      <c r="AU55" s="305"/>
      <c r="AV55" s="305"/>
    </row>
    <row r="56" spans="1:48" s="306" customFormat="1" ht="39">
      <c r="A56" s="308" t="s">
        <v>440</v>
      </c>
      <c r="B56" s="304" t="s">
        <v>540</v>
      </c>
      <c r="C56" s="283" t="s">
        <v>797</v>
      </c>
      <c r="D56" s="284"/>
      <c r="E56" s="284"/>
      <c r="F56" s="284"/>
      <c r="G56" s="284"/>
      <c r="H56" s="284"/>
      <c r="I56" s="284"/>
      <c r="J56" s="366">
        <v>1</v>
      </c>
      <c r="K56" s="370">
        <f t="shared" si="6"/>
        <v>0.28368794326241142</v>
      </c>
      <c r="L56" s="371">
        <v>4</v>
      </c>
      <c r="M56" s="371">
        <v>0</v>
      </c>
      <c r="N56" s="366">
        <f t="shared" si="2"/>
        <v>1</v>
      </c>
      <c r="O56" s="370">
        <f t="shared" si="3"/>
        <v>0</v>
      </c>
      <c r="P56" s="370">
        <f t="shared" si="4"/>
        <v>0</v>
      </c>
      <c r="Q56" s="366">
        <f t="shared" si="7"/>
        <v>1</v>
      </c>
      <c r="R56" s="370">
        <f t="shared" si="0"/>
        <v>0</v>
      </c>
      <c r="S56" s="366">
        <f t="shared" si="8"/>
        <v>0</v>
      </c>
      <c r="T56" s="366">
        <v>0</v>
      </c>
      <c r="U56" s="370">
        <f t="shared" si="5"/>
        <v>0</v>
      </c>
      <c r="V56" s="370"/>
      <c r="W56" s="372"/>
      <c r="X56" s="370"/>
      <c r="Y56" s="370"/>
      <c r="Z56" s="370"/>
      <c r="AA56" s="370"/>
      <c r="AB56" s="370"/>
      <c r="AC56" s="370"/>
      <c r="AD56" s="370"/>
      <c r="AE56" s="370"/>
      <c r="AF56" s="370"/>
      <c r="AG56" s="370"/>
      <c r="AH56" s="370"/>
      <c r="AI56" s="370"/>
      <c r="AJ56" s="366"/>
      <c r="AK56" s="366"/>
      <c r="AL56" s="360"/>
      <c r="AM56" s="305" t="s">
        <v>823</v>
      </c>
      <c r="AN56" s="305"/>
      <c r="AO56" s="305"/>
      <c r="AP56" s="305"/>
      <c r="AQ56" s="305"/>
      <c r="AR56" s="305"/>
      <c r="AS56" s="305"/>
      <c r="AT56" s="305"/>
      <c r="AU56" s="305"/>
      <c r="AV56" s="305"/>
    </row>
    <row r="57" spans="1:48" s="306" customFormat="1" ht="58.5" hidden="1">
      <c r="A57" s="308" t="s">
        <v>441</v>
      </c>
      <c r="B57" s="304" t="s">
        <v>626</v>
      </c>
      <c r="C57" s="283" t="s">
        <v>794</v>
      </c>
      <c r="D57" s="284"/>
      <c r="E57" s="284"/>
      <c r="F57" s="284"/>
      <c r="G57" s="284"/>
      <c r="H57" s="284"/>
      <c r="I57" s="284"/>
      <c r="J57" s="366">
        <v>1</v>
      </c>
      <c r="K57" s="370">
        <f t="shared" si="6"/>
        <v>0.28368794326241142</v>
      </c>
      <c r="L57" s="371">
        <v>4</v>
      </c>
      <c r="M57" s="371"/>
      <c r="N57" s="366">
        <f t="shared" si="2"/>
        <v>1</v>
      </c>
      <c r="O57" s="370">
        <f t="shared" si="3"/>
        <v>0</v>
      </c>
      <c r="P57" s="370">
        <f t="shared" si="4"/>
        <v>0</v>
      </c>
      <c r="Q57" s="366">
        <f t="shared" si="7"/>
        <v>1</v>
      </c>
      <c r="R57" s="370">
        <f t="shared" si="0"/>
        <v>0</v>
      </c>
      <c r="S57" s="366">
        <f t="shared" si="8"/>
        <v>0</v>
      </c>
      <c r="T57" s="366">
        <v>0</v>
      </c>
      <c r="U57" s="370">
        <f t="shared" si="5"/>
        <v>0</v>
      </c>
      <c r="V57" s="370"/>
      <c r="W57" s="372"/>
      <c r="X57" s="370"/>
      <c r="Y57" s="370"/>
      <c r="Z57" s="370"/>
      <c r="AA57" s="370"/>
      <c r="AB57" s="370"/>
      <c r="AC57" s="370"/>
      <c r="AD57" s="370"/>
      <c r="AE57" s="370"/>
      <c r="AF57" s="370"/>
      <c r="AG57" s="370"/>
      <c r="AH57" s="370"/>
      <c r="AI57" s="370"/>
      <c r="AJ57" s="366"/>
      <c r="AK57" s="366"/>
      <c r="AL57" s="360"/>
      <c r="AM57" s="305"/>
      <c r="AN57" s="305"/>
      <c r="AO57" s="305"/>
      <c r="AP57" s="305"/>
      <c r="AQ57" s="305"/>
      <c r="AR57" s="305"/>
      <c r="AS57" s="305"/>
      <c r="AT57" s="305"/>
      <c r="AU57" s="305"/>
      <c r="AV57" s="305"/>
    </row>
    <row r="58" spans="1:48" s="306" customFormat="1" ht="39">
      <c r="A58" s="308" t="s">
        <v>443</v>
      </c>
      <c r="B58" s="304" t="s">
        <v>540</v>
      </c>
      <c r="C58" s="283" t="s">
        <v>797</v>
      </c>
      <c r="D58" s="284"/>
      <c r="E58" s="284"/>
      <c r="F58" s="284"/>
      <c r="G58" s="284"/>
      <c r="H58" s="284"/>
      <c r="I58" s="284"/>
      <c r="J58" s="366">
        <v>1</v>
      </c>
      <c r="K58" s="370">
        <f t="shared" si="6"/>
        <v>0.28368794326241142</v>
      </c>
      <c r="L58" s="371">
        <v>4</v>
      </c>
      <c r="M58" s="371">
        <v>0</v>
      </c>
      <c r="N58" s="366">
        <f t="shared" si="2"/>
        <v>1</v>
      </c>
      <c r="O58" s="370">
        <f t="shared" si="3"/>
        <v>0</v>
      </c>
      <c r="P58" s="370">
        <f t="shared" si="4"/>
        <v>0</v>
      </c>
      <c r="Q58" s="366">
        <f t="shared" si="7"/>
        <v>1</v>
      </c>
      <c r="R58" s="370">
        <f t="shared" si="0"/>
        <v>0</v>
      </c>
      <c r="S58" s="366">
        <f t="shared" si="8"/>
        <v>0</v>
      </c>
      <c r="T58" s="366">
        <v>0</v>
      </c>
      <c r="U58" s="370">
        <f t="shared" si="5"/>
        <v>0</v>
      </c>
      <c r="V58" s="370"/>
      <c r="W58" s="372"/>
      <c r="X58" s="370"/>
      <c r="Y58" s="370"/>
      <c r="Z58" s="370"/>
      <c r="AA58" s="370"/>
      <c r="AB58" s="370"/>
      <c r="AC58" s="370"/>
      <c r="AD58" s="370"/>
      <c r="AE58" s="370"/>
      <c r="AF58" s="370"/>
      <c r="AG58" s="370"/>
      <c r="AH58" s="370"/>
      <c r="AI58" s="370"/>
      <c r="AJ58" s="366"/>
      <c r="AK58" s="366"/>
      <c r="AL58" s="360"/>
      <c r="AM58" s="305" t="s">
        <v>823</v>
      </c>
      <c r="AN58" s="305"/>
      <c r="AO58" s="305"/>
      <c r="AP58" s="305"/>
      <c r="AQ58" s="305"/>
      <c r="AR58" s="305"/>
      <c r="AS58" s="305"/>
      <c r="AT58" s="305"/>
      <c r="AU58" s="305"/>
      <c r="AV58" s="305"/>
    </row>
    <row r="59" spans="1:48" s="306" customFormat="1" ht="39" hidden="1">
      <c r="A59" s="308" t="s">
        <v>444</v>
      </c>
      <c r="B59" s="304" t="s">
        <v>809</v>
      </c>
      <c r="C59" s="283" t="s">
        <v>794</v>
      </c>
      <c r="D59" s="284"/>
      <c r="E59" s="284"/>
      <c r="F59" s="284"/>
      <c r="G59" s="284"/>
      <c r="H59" s="284"/>
      <c r="I59" s="284"/>
      <c r="J59" s="366">
        <v>82.6</v>
      </c>
      <c r="K59" s="370">
        <f t="shared" si="6"/>
        <v>1.3475177304964541</v>
      </c>
      <c r="L59" s="371">
        <v>19</v>
      </c>
      <c r="M59" s="371"/>
      <c r="N59" s="366">
        <f t="shared" si="2"/>
        <v>82.6</v>
      </c>
      <c r="O59" s="370">
        <f t="shared" si="3"/>
        <v>0</v>
      </c>
      <c r="P59" s="370">
        <f t="shared" si="4"/>
        <v>0</v>
      </c>
      <c r="Q59" s="366">
        <f t="shared" si="7"/>
        <v>82.6</v>
      </c>
      <c r="R59" s="370">
        <f t="shared" si="0"/>
        <v>0</v>
      </c>
      <c r="S59" s="366">
        <f t="shared" si="8"/>
        <v>0</v>
      </c>
      <c r="T59" s="366">
        <v>0</v>
      </c>
      <c r="U59" s="370">
        <f t="shared" si="5"/>
        <v>0</v>
      </c>
      <c r="V59" s="370"/>
      <c r="W59" s="372"/>
      <c r="X59" s="370"/>
      <c r="Y59" s="370"/>
      <c r="Z59" s="370"/>
      <c r="AA59" s="370"/>
      <c r="AB59" s="370"/>
      <c r="AC59" s="370"/>
      <c r="AD59" s="370"/>
      <c r="AE59" s="370"/>
      <c r="AF59" s="370"/>
      <c r="AG59" s="370"/>
      <c r="AH59" s="370"/>
      <c r="AI59" s="370"/>
      <c r="AJ59" s="366"/>
      <c r="AK59" s="366"/>
      <c r="AL59" s="360"/>
      <c r="AM59" s="305"/>
      <c r="AN59" s="305"/>
      <c r="AO59" s="305"/>
      <c r="AP59" s="305"/>
      <c r="AQ59" s="305"/>
      <c r="AR59" s="305"/>
      <c r="AS59" s="305"/>
      <c r="AT59" s="305"/>
      <c r="AU59" s="305"/>
      <c r="AV59" s="305"/>
    </row>
    <row r="60" spans="1:48" s="306" customFormat="1" ht="39" hidden="1">
      <c r="A60" s="308" t="s">
        <v>446</v>
      </c>
      <c r="B60" s="304" t="s">
        <v>540</v>
      </c>
      <c r="C60" s="283" t="s">
        <v>797</v>
      </c>
      <c r="D60" s="284"/>
      <c r="E60" s="284"/>
      <c r="F60" s="284"/>
      <c r="G60" s="284"/>
      <c r="H60" s="284"/>
      <c r="I60" s="284"/>
      <c r="J60" s="366">
        <v>82.6</v>
      </c>
      <c r="K60" s="370">
        <f t="shared" si="6"/>
        <v>1.3475177304964541</v>
      </c>
      <c r="L60" s="371">
        <v>19</v>
      </c>
      <c r="M60" s="371">
        <v>18.5</v>
      </c>
      <c r="N60" s="366">
        <f t="shared" si="2"/>
        <v>82.6</v>
      </c>
      <c r="O60" s="370">
        <f t="shared" si="3"/>
        <v>2.6241134751773054</v>
      </c>
      <c r="P60" s="370">
        <f t="shared" si="4"/>
        <v>18.5</v>
      </c>
      <c r="Q60" s="366">
        <f t="shared" si="7"/>
        <v>82.6</v>
      </c>
      <c r="R60" s="370">
        <f t="shared" si="0"/>
        <v>2.6241134751773054</v>
      </c>
      <c r="S60" s="366">
        <f t="shared" si="8"/>
        <v>100</v>
      </c>
      <c r="T60" s="366">
        <v>14.57</v>
      </c>
      <c r="U60" s="370">
        <f t="shared" si="5"/>
        <v>78.756756756756758</v>
      </c>
      <c r="V60" s="370"/>
      <c r="W60" s="372"/>
      <c r="X60" s="370"/>
      <c r="Y60" s="370"/>
      <c r="Z60" s="370"/>
      <c r="AA60" s="370"/>
      <c r="AB60" s="370"/>
      <c r="AC60" s="370"/>
      <c r="AD60" s="370"/>
      <c r="AE60" s="370"/>
      <c r="AF60" s="370"/>
      <c r="AG60" s="370"/>
      <c r="AH60" s="370"/>
      <c r="AI60" s="370"/>
      <c r="AJ60" s="366"/>
      <c r="AK60" s="366"/>
      <c r="AL60" s="360"/>
      <c r="AM60" s="305" t="s">
        <v>820</v>
      </c>
      <c r="AN60" s="305"/>
      <c r="AO60" s="305"/>
      <c r="AP60" s="305"/>
      <c r="AQ60" s="305"/>
      <c r="AR60" s="305"/>
      <c r="AS60" s="305"/>
      <c r="AT60" s="305"/>
      <c r="AU60" s="305"/>
      <c r="AV60" s="305"/>
    </row>
    <row r="61" spans="1:48" s="306" customFormat="1" ht="39" hidden="1">
      <c r="A61" s="308" t="s">
        <v>447</v>
      </c>
      <c r="B61" s="304" t="s">
        <v>628</v>
      </c>
      <c r="C61" s="283" t="s">
        <v>794</v>
      </c>
      <c r="D61" s="284"/>
      <c r="E61" s="284"/>
      <c r="F61" s="284"/>
      <c r="G61" s="284"/>
      <c r="H61" s="284"/>
      <c r="I61" s="284"/>
      <c r="J61" s="366">
        <v>1</v>
      </c>
      <c r="K61" s="370">
        <f t="shared" si="6"/>
        <v>0.42553191489361714</v>
      </c>
      <c r="L61" s="371">
        <v>6</v>
      </c>
      <c r="M61" s="371"/>
      <c r="N61" s="366">
        <f t="shared" si="2"/>
        <v>1</v>
      </c>
      <c r="O61" s="370">
        <f t="shared" si="3"/>
        <v>0</v>
      </c>
      <c r="P61" s="370">
        <f t="shared" si="4"/>
        <v>0</v>
      </c>
      <c r="Q61" s="366">
        <f t="shared" si="7"/>
        <v>1</v>
      </c>
      <c r="R61" s="370">
        <f t="shared" si="0"/>
        <v>0</v>
      </c>
      <c r="S61" s="366">
        <f t="shared" si="8"/>
        <v>0</v>
      </c>
      <c r="T61" s="366">
        <v>0</v>
      </c>
      <c r="U61" s="370">
        <f t="shared" si="5"/>
        <v>0</v>
      </c>
      <c r="V61" s="370"/>
      <c r="W61" s="372"/>
      <c r="X61" s="370"/>
      <c r="Y61" s="370"/>
      <c r="Z61" s="370"/>
      <c r="AA61" s="370"/>
      <c r="AB61" s="370"/>
      <c r="AC61" s="370"/>
      <c r="AD61" s="370"/>
      <c r="AE61" s="370"/>
      <c r="AF61" s="370"/>
      <c r="AG61" s="370"/>
      <c r="AH61" s="370"/>
      <c r="AI61" s="370"/>
      <c r="AJ61" s="366"/>
      <c r="AK61" s="366"/>
      <c r="AL61" s="360"/>
      <c r="AM61" s="305"/>
      <c r="AN61" s="305"/>
      <c r="AO61" s="305"/>
      <c r="AP61" s="305"/>
      <c r="AQ61" s="305"/>
      <c r="AR61" s="305"/>
      <c r="AS61" s="305"/>
      <c r="AT61" s="305"/>
      <c r="AU61" s="305"/>
      <c r="AV61" s="305"/>
    </row>
    <row r="62" spans="1:48" s="306" customFormat="1" ht="39" hidden="1">
      <c r="A62" s="308" t="s">
        <v>449</v>
      </c>
      <c r="B62" s="304" t="s">
        <v>540</v>
      </c>
      <c r="C62" s="283" t="s">
        <v>797</v>
      </c>
      <c r="D62" s="284"/>
      <c r="E62" s="284"/>
      <c r="F62" s="284"/>
      <c r="G62" s="284"/>
      <c r="H62" s="284"/>
      <c r="I62" s="284"/>
      <c r="J62" s="366">
        <v>1</v>
      </c>
      <c r="K62" s="370">
        <f t="shared" si="6"/>
        <v>0.42553191489361714</v>
      </c>
      <c r="L62" s="371">
        <v>6</v>
      </c>
      <c r="M62" s="371">
        <v>0</v>
      </c>
      <c r="N62" s="366">
        <f t="shared" si="2"/>
        <v>1</v>
      </c>
      <c r="O62" s="370">
        <f t="shared" si="3"/>
        <v>0</v>
      </c>
      <c r="P62" s="370">
        <f t="shared" si="4"/>
        <v>0</v>
      </c>
      <c r="Q62" s="366">
        <f t="shared" si="7"/>
        <v>1</v>
      </c>
      <c r="R62" s="370">
        <f t="shared" si="0"/>
        <v>0</v>
      </c>
      <c r="S62" s="366">
        <f t="shared" si="8"/>
        <v>0</v>
      </c>
      <c r="T62" s="366">
        <v>0</v>
      </c>
      <c r="U62" s="370">
        <f t="shared" si="5"/>
        <v>0</v>
      </c>
      <c r="V62" s="370"/>
      <c r="W62" s="372"/>
      <c r="X62" s="370"/>
      <c r="Y62" s="370"/>
      <c r="Z62" s="370"/>
      <c r="AA62" s="370"/>
      <c r="AB62" s="370"/>
      <c r="AC62" s="370"/>
      <c r="AD62" s="370"/>
      <c r="AE62" s="370"/>
      <c r="AF62" s="370"/>
      <c r="AG62" s="370"/>
      <c r="AH62" s="370"/>
      <c r="AI62" s="370"/>
      <c r="AJ62" s="366"/>
      <c r="AK62" s="366"/>
      <c r="AL62" s="360"/>
      <c r="AM62" s="305" t="s">
        <v>820</v>
      </c>
      <c r="AN62" s="305"/>
      <c r="AO62" s="305"/>
      <c r="AP62" s="305"/>
      <c r="AQ62" s="305"/>
      <c r="AR62" s="305"/>
      <c r="AS62" s="305"/>
      <c r="AT62" s="305"/>
      <c r="AU62" s="305"/>
      <c r="AV62" s="305"/>
    </row>
    <row r="63" spans="1:48" s="306" customFormat="1" ht="58.5" hidden="1">
      <c r="A63" s="308" t="s">
        <v>255</v>
      </c>
      <c r="B63" s="297" t="s">
        <v>629</v>
      </c>
      <c r="C63" s="283" t="s">
        <v>794</v>
      </c>
      <c r="D63" s="284"/>
      <c r="E63" s="284"/>
      <c r="F63" s="284"/>
      <c r="G63" s="284"/>
      <c r="H63" s="284"/>
      <c r="I63" s="284"/>
      <c r="J63" s="366">
        <v>26.03</v>
      </c>
      <c r="K63" s="370">
        <f t="shared" si="6"/>
        <v>5.3900709219858163</v>
      </c>
      <c r="L63" s="371">
        <v>76</v>
      </c>
      <c r="M63" s="371"/>
      <c r="N63" s="366">
        <f t="shared" si="2"/>
        <v>26.03</v>
      </c>
      <c r="O63" s="370">
        <f t="shared" si="3"/>
        <v>0</v>
      </c>
      <c r="P63" s="370">
        <f t="shared" si="4"/>
        <v>0</v>
      </c>
      <c r="Q63" s="366">
        <f t="shared" si="7"/>
        <v>26.03</v>
      </c>
      <c r="R63" s="370">
        <f t="shared" si="0"/>
        <v>0</v>
      </c>
      <c r="S63" s="366">
        <f t="shared" si="8"/>
        <v>0</v>
      </c>
      <c r="T63" s="366">
        <v>0</v>
      </c>
      <c r="U63" s="370">
        <f t="shared" si="5"/>
        <v>0</v>
      </c>
      <c r="V63" s="370"/>
      <c r="W63" s="372"/>
      <c r="X63" s="370"/>
      <c r="Y63" s="370"/>
      <c r="Z63" s="370"/>
      <c r="AA63" s="370"/>
      <c r="AB63" s="370"/>
      <c r="AC63" s="370"/>
      <c r="AD63" s="370"/>
      <c r="AE63" s="370"/>
      <c r="AF63" s="370"/>
      <c r="AG63" s="370"/>
      <c r="AH63" s="370"/>
      <c r="AI63" s="370"/>
      <c r="AJ63" s="366"/>
      <c r="AK63" s="366"/>
      <c r="AL63" s="360"/>
      <c r="AM63" s="305"/>
      <c r="AN63" s="305"/>
      <c r="AO63" s="305"/>
      <c r="AP63" s="305"/>
      <c r="AQ63" s="305"/>
      <c r="AR63" s="305"/>
      <c r="AS63" s="305"/>
      <c r="AT63" s="305"/>
      <c r="AU63" s="305"/>
      <c r="AV63" s="305"/>
    </row>
    <row r="64" spans="1:48" s="306" customFormat="1" ht="39">
      <c r="A64" s="308" t="s">
        <v>257</v>
      </c>
      <c r="B64" s="304" t="s">
        <v>561</v>
      </c>
      <c r="C64" s="283" t="s">
        <v>797</v>
      </c>
      <c r="D64" s="284"/>
      <c r="E64" s="284"/>
      <c r="F64" s="284"/>
      <c r="G64" s="284"/>
      <c r="H64" s="284"/>
      <c r="I64" s="284"/>
      <c r="J64" s="366">
        <v>26.03</v>
      </c>
      <c r="K64" s="370">
        <f t="shared" si="6"/>
        <v>5.3900709219858163</v>
      </c>
      <c r="L64" s="371">
        <v>76</v>
      </c>
      <c r="M64" s="371">
        <v>47</v>
      </c>
      <c r="N64" s="366">
        <f t="shared" si="2"/>
        <v>26.03</v>
      </c>
      <c r="O64" s="370">
        <f t="shared" si="3"/>
        <v>6.6666666666666679</v>
      </c>
      <c r="P64" s="370">
        <f t="shared" si="4"/>
        <v>47</v>
      </c>
      <c r="Q64" s="366">
        <f t="shared" si="7"/>
        <v>26.03</v>
      </c>
      <c r="R64" s="370">
        <f t="shared" si="0"/>
        <v>6.6666666666666679</v>
      </c>
      <c r="S64" s="366">
        <f t="shared" si="8"/>
        <v>100</v>
      </c>
      <c r="T64" s="366">
        <v>46.99</v>
      </c>
      <c r="U64" s="370">
        <f t="shared" si="5"/>
        <v>99.978723404255319</v>
      </c>
      <c r="V64" s="370"/>
      <c r="W64" s="372"/>
      <c r="X64" s="370"/>
      <c r="Y64" s="370"/>
      <c r="Z64" s="370"/>
      <c r="AA64" s="370"/>
      <c r="AB64" s="370"/>
      <c r="AC64" s="370"/>
      <c r="AD64" s="370"/>
      <c r="AE64" s="370"/>
      <c r="AF64" s="370"/>
      <c r="AG64" s="370"/>
      <c r="AH64" s="370"/>
      <c r="AI64" s="370"/>
      <c r="AJ64" s="366"/>
      <c r="AK64" s="366"/>
      <c r="AL64" s="360"/>
      <c r="AM64" s="305" t="s">
        <v>823</v>
      </c>
      <c r="AN64" s="305"/>
      <c r="AO64" s="305"/>
      <c r="AP64" s="305"/>
      <c r="AQ64" s="305"/>
      <c r="AR64" s="305"/>
      <c r="AS64" s="305"/>
      <c r="AT64" s="305"/>
      <c r="AU64" s="305"/>
      <c r="AV64" s="305"/>
    </row>
    <row r="65" spans="1:48" s="306" customFormat="1" ht="40.5" hidden="1">
      <c r="A65" s="308" t="s">
        <v>260</v>
      </c>
      <c r="B65" s="353" t="s">
        <v>673</v>
      </c>
      <c r="C65" s="283" t="s">
        <v>794</v>
      </c>
      <c r="D65" s="284"/>
      <c r="E65" s="284"/>
      <c r="F65" s="284"/>
      <c r="G65" s="284"/>
      <c r="H65" s="284"/>
      <c r="I65" s="284"/>
      <c r="J65" s="366">
        <v>1.5</v>
      </c>
      <c r="K65" s="370">
        <f t="shared" si="6"/>
        <v>1.9148936170212769</v>
      </c>
      <c r="L65" s="371">
        <v>27</v>
      </c>
      <c r="M65" s="371"/>
      <c r="N65" s="366">
        <f t="shared" si="2"/>
        <v>1.5</v>
      </c>
      <c r="O65" s="370">
        <f t="shared" si="3"/>
        <v>0</v>
      </c>
      <c r="P65" s="370">
        <f t="shared" si="4"/>
        <v>0</v>
      </c>
      <c r="Q65" s="366">
        <f t="shared" si="7"/>
        <v>1.5</v>
      </c>
      <c r="R65" s="370">
        <f t="shared" si="0"/>
        <v>0</v>
      </c>
      <c r="S65" s="366">
        <f t="shared" si="8"/>
        <v>0</v>
      </c>
      <c r="T65" s="366">
        <v>0</v>
      </c>
      <c r="U65" s="370">
        <f t="shared" si="5"/>
        <v>0</v>
      </c>
      <c r="V65" s="370"/>
      <c r="W65" s="372"/>
      <c r="X65" s="370"/>
      <c r="Y65" s="370"/>
      <c r="Z65" s="370"/>
      <c r="AA65" s="370"/>
      <c r="AB65" s="370"/>
      <c r="AC65" s="370"/>
      <c r="AD65" s="370"/>
      <c r="AE65" s="370"/>
      <c r="AF65" s="370"/>
      <c r="AG65" s="370"/>
      <c r="AH65" s="370"/>
      <c r="AI65" s="370"/>
      <c r="AJ65" s="366"/>
      <c r="AK65" s="366"/>
      <c r="AL65" s="360"/>
      <c r="AM65" s="305"/>
      <c r="AN65" s="305"/>
      <c r="AO65" s="305"/>
      <c r="AP65" s="305"/>
      <c r="AQ65" s="305"/>
      <c r="AR65" s="305"/>
      <c r="AS65" s="305"/>
      <c r="AT65" s="305"/>
      <c r="AU65" s="305"/>
      <c r="AV65" s="305"/>
    </row>
    <row r="66" spans="1:48" s="306" customFormat="1" ht="39">
      <c r="A66" s="308" t="s">
        <v>262</v>
      </c>
      <c r="B66" s="304" t="s">
        <v>561</v>
      </c>
      <c r="C66" s="283" t="s">
        <v>797</v>
      </c>
      <c r="D66" s="284"/>
      <c r="E66" s="284"/>
      <c r="F66" s="284"/>
      <c r="G66" s="284"/>
      <c r="H66" s="284"/>
      <c r="I66" s="284"/>
      <c r="J66" s="366">
        <v>1.5</v>
      </c>
      <c r="K66" s="370">
        <f t="shared" si="6"/>
        <v>1.9148936170212769</v>
      </c>
      <c r="L66" s="371">
        <v>27</v>
      </c>
      <c r="M66" s="371">
        <v>26.65</v>
      </c>
      <c r="N66" s="366">
        <f t="shared" si="2"/>
        <v>1.5</v>
      </c>
      <c r="O66" s="370">
        <f t="shared" si="3"/>
        <v>3.7801418439716317</v>
      </c>
      <c r="P66" s="370">
        <f t="shared" si="4"/>
        <v>26.65</v>
      </c>
      <c r="Q66" s="366">
        <f t="shared" si="7"/>
        <v>1.5</v>
      </c>
      <c r="R66" s="370">
        <f t="shared" si="0"/>
        <v>3.7801418439716317</v>
      </c>
      <c r="S66" s="366">
        <f t="shared" si="8"/>
        <v>100</v>
      </c>
      <c r="T66" s="366">
        <v>26.6</v>
      </c>
      <c r="U66" s="370">
        <f t="shared" si="5"/>
        <v>99.812382739212012</v>
      </c>
      <c r="V66" s="370"/>
      <c r="W66" s="372"/>
      <c r="X66" s="370"/>
      <c r="Y66" s="370"/>
      <c r="Z66" s="370"/>
      <c r="AA66" s="370"/>
      <c r="AB66" s="370"/>
      <c r="AC66" s="370"/>
      <c r="AD66" s="370"/>
      <c r="AE66" s="370"/>
      <c r="AF66" s="370"/>
      <c r="AG66" s="370"/>
      <c r="AH66" s="370"/>
      <c r="AI66" s="370"/>
      <c r="AJ66" s="366"/>
      <c r="AK66" s="366"/>
      <c r="AL66" s="360"/>
      <c r="AM66" s="305" t="s">
        <v>823</v>
      </c>
      <c r="AN66" s="305"/>
      <c r="AO66" s="305"/>
      <c r="AP66" s="305"/>
      <c r="AQ66" s="305"/>
      <c r="AR66" s="305"/>
      <c r="AS66" s="305"/>
      <c r="AT66" s="305"/>
      <c r="AU66" s="305"/>
      <c r="AV66" s="305"/>
    </row>
    <row r="67" spans="1:48" s="306" customFormat="1" ht="40.5">
      <c r="A67" s="308" t="s">
        <v>263</v>
      </c>
      <c r="B67" s="353" t="s">
        <v>674</v>
      </c>
      <c r="C67" s="283" t="s">
        <v>797</v>
      </c>
      <c r="D67" s="284"/>
      <c r="E67" s="284"/>
      <c r="F67" s="284"/>
      <c r="G67" s="284"/>
      <c r="H67" s="284"/>
      <c r="I67" s="284"/>
      <c r="J67" s="366">
        <v>5</v>
      </c>
      <c r="K67" s="370">
        <f t="shared" si="6"/>
        <v>7.0921985815602856E-2</v>
      </c>
      <c r="L67" s="371">
        <v>1</v>
      </c>
      <c r="M67" s="371">
        <v>0</v>
      </c>
      <c r="N67" s="366">
        <f t="shared" si="2"/>
        <v>5</v>
      </c>
      <c r="O67" s="370">
        <f t="shared" si="3"/>
        <v>0</v>
      </c>
      <c r="P67" s="370">
        <f t="shared" si="4"/>
        <v>0</v>
      </c>
      <c r="Q67" s="366">
        <f t="shared" si="7"/>
        <v>5</v>
      </c>
      <c r="R67" s="370">
        <f t="shared" si="0"/>
        <v>0</v>
      </c>
      <c r="S67" s="366">
        <f t="shared" si="8"/>
        <v>0</v>
      </c>
      <c r="T67" s="366">
        <v>0</v>
      </c>
      <c r="U67" s="370">
        <f t="shared" si="5"/>
        <v>0</v>
      </c>
      <c r="V67" s="370"/>
      <c r="W67" s="372"/>
      <c r="X67" s="370"/>
      <c r="Y67" s="370"/>
      <c r="Z67" s="370"/>
      <c r="AA67" s="370"/>
      <c r="AB67" s="370"/>
      <c r="AC67" s="370"/>
      <c r="AD67" s="370"/>
      <c r="AE67" s="370"/>
      <c r="AF67" s="370"/>
      <c r="AG67" s="370"/>
      <c r="AH67" s="370"/>
      <c r="AI67" s="370"/>
      <c r="AJ67" s="366"/>
      <c r="AK67" s="366"/>
      <c r="AL67" s="360"/>
      <c r="AM67" s="305" t="s">
        <v>823</v>
      </c>
      <c r="AN67" s="305"/>
      <c r="AO67" s="305"/>
      <c r="AP67" s="305"/>
      <c r="AQ67" s="305"/>
      <c r="AR67" s="305"/>
      <c r="AS67" s="305"/>
      <c r="AT67" s="305"/>
      <c r="AU67" s="305"/>
      <c r="AV67" s="305"/>
    </row>
    <row r="68" spans="1:48" s="306" customFormat="1" ht="40.5">
      <c r="A68" s="308" t="s">
        <v>566</v>
      </c>
      <c r="B68" s="353" t="s">
        <v>675</v>
      </c>
      <c r="C68" s="283" t="s">
        <v>797</v>
      </c>
      <c r="D68" s="284"/>
      <c r="E68" s="284"/>
      <c r="F68" s="284"/>
      <c r="G68" s="284"/>
      <c r="H68" s="284"/>
      <c r="I68" s="284"/>
      <c r="J68" s="366">
        <v>0.5</v>
      </c>
      <c r="K68" s="370">
        <f t="shared" si="6"/>
        <v>7.0921985815602856E-2</v>
      </c>
      <c r="L68" s="371">
        <v>1</v>
      </c>
      <c r="M68" s="371">
        <v>0</v>
      </c>
      <c r="N68" s="366">
        <f t="shared" si="2"/>
        <v>0.5</v>
      </c>
      <c r="O68" s="370">
        <f t="shared" si="3"/>
        <v>0</v>
      </c>
      <c r="P68" s="370">
        <f t="shared" si="4"/>
        <v>0</v>
      </c>
      <c r="Q68" s="366">
        <f t="shared" si="7"/>
        <v>0.5</v>
      </c>
      <c r="R68" s="370">
        <f t="shared" si="0"/>
        <v>0</v>
      </c>
      <c r="S68" s="366">
        <f t="shared" si="8"/>
        <v>0</v>
      </c>
      <c r="T68" s="366">
        <v>0</v>
      </c>
      <c r="U68" s="370">
        <f t="shared" si="5"/>
        <v>0</v>
      </c>
      <c r="V68" s="370"/>
      <c r="W68" s="372"/>
      <c r="X68" s="370"/>
      <c r="Y68" s="370"/>
      <c r="Z68" s="370"/>
      <c r="AA68" s="370"/>
      <c r="AB68" s="370"/>
      <c r="AC68" s="370"/>
      <c r="AD68" s="370"/>
      <c r="AE68" s="370"/>
      <c r="AF68" s="370"/>
      <c r="AG68" s="370"/>
      <c r="AH68" s="370"/>
      <c r="AI68" s="370"/>
      <c r="AJ68" s="366"/>
      <c r="AK68" s="366"/>
      <c r="AL68" s="360"/>
      <c r="AM68" s="305" t="s">
        <v>823</v>
      </c>
      <c r="AN68" s="305"/>
      <c r="AO68" s="305"/>
      <c r="AP68" s="305"/>
      <c r="AQ68" s="305"/>
      <c r="AR68" s="305"/>
      <c r="AS68" s="305"/>
      <c r="AT68" s="305"/>
      <c r="AU68" s="305"/>
      <c r="AV68" s="305"/>
    </row>
    <row r="69" spans="1:48" s="306" customFormat="1" ht="60">
      <c r="A69" s="308" t="s">
        <v>271</v>
      </c>
      <c r="B69" s="353" t="s">
        <v>676</v>
      </c>
      <c r="C69" s="283" t="s">
        <v>797</v>
      </c>
      <c r="D69" s="284"/>
      <c r="E69" s="284"/>
      <c r="F69" s="284"/>
      <c r="G69" s="284"/>
      <c r="H69" s="284"/>
      <c r="I69" s="284"/>
      <c r="J69" s="366">
        <v>5</v>
      </c>
      <c r="K69" s="370">
        <f t="shared" si="6"/>
        <v>5.3191489361702136</v>
      </c>
      <c r="L69" s="371">
        <v>75</v>
      </c>
      <c r="M69" s="371">
        <v>0</v>
      </c>
      <c r="N69" s="366">
        <f t="shared" si="2"/>
        <v>5</v>
      </c>
      <c r="O69" s="370">
        <f t="shared" si="3"/>
        <v>0</v>
      </c>
      <c r="P69" s="370">
        <f t="shared" si="4"/>
        <v>0</v>
      </c>
      <c r="Q69" s="366">
        <f t="shared" si="7"/>
        <v>5</v>
      </c>
      <c r="R69" s="370">
        <f t="shared" si="0"/>
        <v>0</v>
      </c>
      <c r="S69" s="366">
        <f t="shared" si="8"/>
        <v>0</v>
      </c>
      <c r="T69" s="366">
        <v>0</v>
      </c>
      <c r="U69" s="370">
        <f t="shared" si="5"/>
        <v>0</v>
      </c>
      <c r="V69" s="370"/>
      <c r="W69" s="372"/>
      <c r="X69" s="370"/>
      <c r="Y69" s="370"/>
      <c r="Z69" s="370"/>
      <c r="AA69" s="370"/>
      <c r="AB69" s="370"/>
      <c r="AC69" s="370"/>
      <c r="AD69" s="370"/>
      <c r="AE69" s="370"/>
      <c r="AF69" s="370"/>
      <c r="AG69" s="370"/>
      <c r="AH69" s="370"/>
      <c r="AI69" s="370"/>
      <c r="AJ69" s="366"/>
      <c r="AK69" s="366"/>
      <c r="AL69" s="360"/>
      <c r="AM69" s="305" t="s">
        <v>823</v>
      </c>
      <c r="AN69" s="305"/>
      <c r="AO69" s="305"/>
      <c r="AP69" s="305"/>
      <c r="AQ69" s="305"/>
      <c r="AR69" s="305"/>
      <c r="AS69" s="305"/>
      <c r="AT69" s="305"/>
      <c r="AU69" s="305"/>
      <c r="AV69" s="305"/>
    </row>
    <row r="70" spans="1:48" s="306" customFormat="1" ht="58.5">
      <c r="A70" s="308" t="s">
        <v>273</v>
      </c>
      <c r="B70" s="354" t="s">
        <v>677</v>
      </c>
      <c r="C70" s="283" t="s">
        <v>797</v>
      </c>
      <c r="D70" s="284"/>
      <c r="E70" s="284"/>
      <c r="F70" s="284"/>
      <c r="G70" s="284"/>
      <c r="H70" s="284"/>
      <c r="I70" s="284"/>
      <c r="J70" s="366">
        <v>1.5</v>
      </c>
      <c r="K70" s="370">
        <f t="shared" si="6"/>
        <v>0.85106382978723427</v>
      </c>
      <c r="L70" s="371">
        <v>12</v>
      </c>
      <c r="M70" s="371">
        <v>0</v>
      </c>
      <c r="N70" s="366">
        <f t="shared" si="2"/>
        <v>1.5</v>
      </c>
      <c r="O70" s="370">
        <f t="shared" si="3"/>
        <v>0</v>
      </c>
      <c r="P70" s="370">
        <f t="shared" si="4"/>
        <v>0</v>
      </c>
      <c r="Q70" s="366">
        <f t="shared" si="7"/>
        <v>1.5</v>
      </c>
      <c r="R70" s="370">
        <f t="shared" si="0"/>
        <v>0</v>
      </c>
      <c r="S70" s="366">
        <f t="shared" si="8"/>
        <v>0</v>
      </c>
      <c r="T70" s="366">
        <v>0</v>
      </c>
      <c r="U70" s="370">
        <f t="shared" si="5"/>
        <v>0</v>
      </c>
      <c r="V70" s="370"/>
      <c r="W70" s="372"/>
      <c r="X70" s="370"/>
      <c r="Y70" s="370"/>
      <c r="Z70" s="370"/>
      <c r="AA70" s="370"/>
      <c r="AB70" s="370"/>
      <c r="AC70" s="370"/>
      <c r="AD70" s="370"/>
      <c r="AE70" s="370"/>
      <c r="AF70" s="370"/>
      <c r="AG70" s="370"/>
      <c r="AH70" s="370"/>
      <c r="AI70" s="370"/>
      <c r="AJ70" s="366"/>
      <c r="AK70" s="366"/>
      <c r="AL70" s="360"/>
      <c r="AM70" s="305" t="s">
        <v>823</v>
      </c>
      <c r="AN70" s="305"/>
      <c r="AO70" s="305"/>
      <c r="AP70" s="305"/>
      <c r="AQ70" s="305"/>
      <c r="AR70" s="305"/>
      <c r="AS70" s="305"/>
      <c r="AT70" s="305"/>
      <c r="AU70" s="305"/>
      <c r="AV70" s="305"/>
    </row>
    <row r="71" spans="1:48" s="306" customFormat="1" ht="60">
      <c r="A71" s="308" t="s">
        <v>678</v>
      </c>
      <c r="B71" s="353" t="s">
        <v>679</v>
      </c>
      <c r="C71" s="283" t="s">
        <v>797</v>
      </c>
      <c r="D71" s="284"/>
      <c r="E71" s="284"/>
      <c r="F71" s="284"/>
      <c r="G71" s="284"/>
      <c r="H71" s="284"/>
      <c r="I71" s="284"/>
      <c r="J71" s="366">
        <v>1</v>
      </c>
      <c r="K71" s="370">
        <f t="shared" si="6"/>
        <v>7.0921985815602856E-2</v>
      </c>
      <c r="L71" s="371">
        <v>1</v>
      </c>
      <c r="M71" s="371">
        <v>0</v>
      </c>
      <c r="N71" s="366">
        <f t="shared" si="2"/>
        <v>1</v>
      </c>
      <c r="O71" s="370">
        <f t="shared" si="3"/>
        <v>0</v>
      </c>
      <c r="P71" s="370">
        <f t="shared" si="4"/>
        <v>0</v>
      </c>
      <c r="Q71" s="366">
        <f t="shared" si="7"/>
        <v>1</v>
      </c>
      <c r="R71" s="370">
        <f t="shared" si="0"/>
        <v>0</v>
      </c>
      <c r="S71" s="366">
        <f t="shared" si="8"/>
        <v>0</v>
      </c>
      <c r="T71" s="366">
        <v>0</v>
      </c>
      <c r="U71" s="370">
        <f t="shared" si="5"/>
        <v>0</v>
      </c>
      <c r="V71" s="370"/>
      <c r="W71" s="372"/>
      <c r="X71" s="370"/>
      <c r="Y71" s="370"/>
      <c r="Z71" s="370"/>
      <c r="AA71" s="370"/>
      <c r="AB71" s="370"/>
      <c r="AC71" s="370"/>
      <c r="AD71" s="370"/>
      <c r="AE71" s="370"/>
      <c r="AF71" s="370"/>
      <c r="AG71" s="370"/>
      <c r="AH71" s="370"/>
      <c r="AI71" s="370"/>
      <c r="AJ71" s="366"/>
      <c r="AK71" s="366"/>
      <c r="AL71" s="360"/>
      <c r="AM71" s="305" t="s">
        <v>823</v>
      </c>
      <c r="AN71" s="305"/>
      <c r="AO71" s="305"/>
      <c r="AP71" s="305"/>
      <c r="AQ71" s="305"/>
      <c r="AR71" s="305"/>
      <c r="AS71" s="305"/>
      <c r="AT71" s="305"/>
      <c r="AU71" s="305"/>
      <c r="AV71" s="305"/>
    </row>
    <row r="72" spans="1:48" s="306" customFormat="1" ht="60">
      <c r="A72" s="308" t="s">
        <v>277</v>
      </c>
      <c r="B72" s="353" t="s">
        <v>680</v>
      </c>
      <c r="C72" s="283" t="s">
        <v>797</v>
      </c>
      <c r="D72" s="284"/>
      <c r="E72" s="284"/>
      <c r="F72" s="284"/>
      <c r="G72" s="284"/>
      <c r="H72" s="284"/>
      <c r="I72" s="284"/>
      <c r="J72" s="366">
        <v>5</v>
      </c>
      <c r="K72" s="370">
        <f t="shared" si="6"/>
        <v>7.0921985815602856E-2</v>
      </c>
      <c r="L72" s="371">
        <v>1</v>
      </c>
      <c r="M72" s="371">
        <v>0</v>
      </c>
      <c r="N72" s="366">
        <f t="shared" si="2"/>
        <v>5</v>
      </c>
      <c r="O72" s="370">
        <f t="shared" si="3"/>
        <v>0</v>
      </c>
      <c r="P72" s="370">
        <f t="shared" si="4"/>
        <v>0</v>
      </c>
      <c r="Q72" s="366">
        <f t="shared" si="7"/>
        <v>5</v>
      </c>
      <c r="R72" s="370">
        <f t="shared" si="0"/>
        <v>0</v>
      </c>
      <c r="S72" s="366">
        <f t="shared" si="8"/>
        <v>0</v>
      </c>
      <c r="T72" s="366">
        <v>0</v>
      </c>
      <c r="U72" s="370">
        <f t="shared" si="5"/>
        <v>0</v>
      </c>
      <c r="V72" s="370"/>
      <c r="W72" s="372"/>
      <c r="X72" s="370"/>
      <c r="Y72" s="370"/>
      <c r="Z72" s="370"/>
      <c r="AA72" s="370"/>
      <c r="AB72" s="370"/>
      <c r="AC72" s="370"/>
      <c r="AD72" s="370"/>
      <c r="AE72" s="370"/>
      <c r="AF72" s="370"/>
      <c r="AG72" s="370"/>
      <c r="AH72" s="370"/>
      <c r="AI72" s="370"/>
      <c r="AJ72" s="366"/>
      <c r="AK72" s="366"/>
      <c r="AL72" s="360"/>
      <c r="AM72" s="305" t="s">
        <v>823</v>
      </c>
      <c r="AN72" s="305"/>
      <c r="AO72" s="305"/>
      <c r="AP72" s="305"/>
      <c r="AQ72" s="305"/>
      <c r="AR72" s="305"/>
      <c r="AS72" s="305"/>
      <c r="AT72" s="305"/>
      <c r="AU72" s="305"/>
      <c r="AV72" s="305"/>
    </row>
    <row r="73" spans="1:48" s="306" customFormat="1" ht="34.9" customHeight="1">
      <c r="A73" s="308" t="s">
        <v>279</v>
      </c>
      <c r="B73" s="364" t="s">
        <v>681</v>
      </c>
      <c r="C73" s="283" t="s">
        <v>797</v>
      </c>
      <c r="D73" s="284"/>
      <c r="E73" s="284"/>
      <c r="F73" s="284"/>
      <c r="G73" s="284"/>
      <c r="H73" s="284"/>
      <c r="I73" s="284"/>
      <c r="J73" s="366">
        <v>24.75</v>
      </c>
      <c r="K73" s="370">
        <f t="shared" si="6"/>
        <v>3.5460992907801421</v>
      </c>
      <c r="L73" s="371">
        <v>50</v>
      </c>
      <c r="M73" s="371">
        <v>25</v>
      </c>
      <c r="N73" s="366">
        <f t="shared" si="2"/>
        <v>24.75</v>
      </c>
      <c r="O73" s="370">
        <f t="shared" si="3"/>
        <v>3.5460992907801421</v>
      </c>
      <c r="P73" s="370">
        <f t="shared" si="4"/>
        <v>25</v>
      </c>
      <c r="Q73" s="366">
        <f t="shared" si="7"/>
        <v>24.75</v>
      </c>
      <c r="R73" s="370">
        <f t="shared" si="0"/>
        <v>3.5460992907801421</v>
      </c>
      <c r="S73" s="366">
        <f t="shared" si="8"/>
        <v>100</v>
      </c>
      <c r="T73" s="366">
        <v>25</v>
      </c>
      <c r="U73" s="370">
        <f t="shared" si="5"/>
        <v>100</v>
      </c>
      <c r="V73" s="370"/>
      <c r="W73" s="372"/>
      <c r="X73" s="370"/>
      <c r="Y73" s="370"/>
      <c r="Z73" s="370"/>
      <c r="AA73" s="370"/>
      <c r="AB73" s="370"/>
      <c r="AC73" s="370"/>
      <c r="AD73" s="370"/>
      <c r="AE73" s="370"/>
      <c r="AF73" s="370"/>
      <c r="AG73" s="370"/>
      <c r="AH73" s="370"/>
      <c r="AI73" s="370"/>
      <c r="AJ73" s="366"/>
      <c r="AK73" s="366"/>
      <c r="AL73" s="360"/>
      <c r="AM73" s="305" t="s">
        <v>823</v>
      </c>
      <c r="AN73" s="305"/>
      <c r="AO73" s="305"/>
      <c r="AP73" s="305"/>
      <c r="AQ73" s="305"/>
      <c r="AR73" s="305"/>
      <c r="AS73" s="305"/>
      <c r="AT73" s="305"/>
      <c r="AU73" s="305"/>
      <c r="AV73" s="305"/>
    </row>
    <row r="74" spans="1:48" s="306" customFormat="1" ht="58.5">
      <c r="A74" s="308" t="s">
        <v>281</v>
      </c>
      <c r="B74" s="354" t="s">
        <v>807</v>
      </c>
      <c r="C74" s="283" t="s">
        <v>797</v>
      </c>
      <c r="D74" s="284"/>
      <c r="E74" s="284"/>
      <c r="F74" s="284"/>
      <c r="G74" s="284"/>
      <c r="H74" s="284"/>
      <c r="I74" s="284"/>
      <c r="J74" s="366">
        <v>3</v>
      </c>
      <c r="K74" s="370">
        <f t="shared" si="6"/>
        <v>0.85106382978723427</v>
      </c>
      <c r="L74" s="371">
        <v>12</v>
      </c>
      <c r="M74" s="371">
        <v>6</v>
      </c>
      <c r="N74" s="366">
        <f t="shared" si="2"/>
        <v>3</v>
      </c>
      <c r="O74" s="370">
        <f t="shared" si="3"/>
        <v>0.85106382978723427</v>
      </c>
      <c r="P74" s="370">
        <f t="shared" si="4"/>
        <v>6</v>
      </c>
      <c r="Q74" s="366">
        <f t="shared" si="7"/>
        <v>3</v>
      </c>
      <c r="R74" s="370">
        <f t="shared" si="0"/>
        <v>0.85106382978723427</v>
      </c>
      <c r="S74" s="366">
        <f t="shared" si="8"/>
        <v>100</v>
      </c>
      <c r="T74" s="366">
        <v>5.74</v>
      </c>
      <c r="U74" s="370">
        <f t="shared" si="5"/>
        <v>95.666666666666671</v>
      </c>
      <c r="V74" s="370"/>
      <c r="W74" s="372"/>
      <c r="X74" s="370"/>
      <c r="Y74" s="370"/>
      <c r="Z74" s="370"/>
      <c r="AA74" s="370"/>
      <c r="AB74" s="370"/>
      <c r="AC74" s="370"/>
      <c r="AD74" s="370"/>
      <c r="AE74" s="370"/>
      <c r="AF74" s="370"/>
      <c r="AG74" s="370"/>
      <c r="AH74" s="370"/>
      <c r="AI74" s="370"/>
      <c r="AJ74" s="366"/>
      <c r="AK74" s="366"/>
      <c r="AL74" s="360"/>
      <c r="AM74" s="305" t="s">
        <v>823</v>
      </c>
      <c r="AN74" s="305"/>
      <c r="AO74" s="305"/>
      <c r="AP74" s="305"/>
      <c r="AQ74" s="305"/>
      <c r="AR74" s="305"/>
      <c r="AS74" s="305"/>
      <c r="AT74" s="305"/>
      <c r="AU74" s="305"/>
      <c r="AV74" s="305"/>
    </row>
    <row r="75" spans="1:48" s="306" customFormat="1" ht="39">
      <c r="A75" s="308" t="s">
        <v>285</v>
      </c>
      <c r="B75" s="354" t="s">
        <v>683</v>
      </c>
      <c r="C75" s="283" t="s">
        <v>797</v>
      </c>
      <c r="D75" s="284"/>
      <c r="E75" s="284"/>
      <c r="F75" s="284"/>
      <c r="G75" s="284"/>
      <c r="H75" s="284"/>
      <c r="I75" s="284"/>
      <c r="J75" s="366">
        <v>2</v>
      </c>
      <c r="K75" s="370">
        <f t="shared" si="6"/>
        <v>0.35460992907801425</v>
      </c>
      <c r="L75" s="371">
        <v>5</v>
      </c>
      <c r="M75" s="371">
        <v>2.5</v>
      </c>
      <c r="N75" s="366">
        <f t="shared" si="2"/>
        <v>2</v>
      </c>
      <c r="O75" s="370">
        <f t="shared" si="3"/>
        <v>0.35460992907801425</v>
      </c>
      <c r="P75" s="370">
        <f t="shared" si="4"/>
        <v>2.5</v>
      </c>
      <c r="Q75" s="366">
        <f t="shared" si="7"/>
        <v>2</v>
      </c>
      <c r="R75" s="370">
        <f t="shared" si="0"/>
        <v>0.35460992907801425</v>
      </c>
      <c r="S75" s="366">
        <f t="shared" si="8"/>
        <v>100</v>
      </c>
      <c r="T75" s="366">
        <v>2.48</v>
      </c>
      <c r="U75" s="370">
        <f t="shared" si="5"/>
        <v>99.2</v>
      </c>
      <c r="V75" s="370"/>
      <c r="W75" s="372"/>
      <c r="X75" s="370"/>
      <c r="Y75" s="370"/>
      <c r="Z75" s="370"/>
      <c r="AA75" s="370"/>
      <c r="AB75" s="370"/>
      <c r="AC75" s="370"/>
      <c r="AD75" s="370"/>
      <c r="AE75" s="370"/>
      <c r="AF75" s="370"/>
      <c r="AG75" s="370"/>
      <c r="AH75" s="370"/>
      <c r="AI75" s="370"/>
      <c r="AJ75" s="366"/>
      <c r="AK75" s="366"/>
      <c r="AL75" s="360"/>
      <c r="AM75" s="305" t="s">
        <v>823</v>
      </c>
      <c r="AN75" s="305"/>
      <c r="AO75" s="305"/>
      <c r="AP75" s="305"/>
      <c r="AQ75" s="305"/>
      <c r="AR75" s="305"/>
      <c r="AS75" s="305"/>
      <c r="AT75" s="305"/>
      <c r="AU75" s="305"/>
      <c r="AV75" s="305"/>
    </row>
    <row r="76" spans="1:48" s="306" customFormat="1" ht="40.5">
      <c r="A76" s="308" t="s">
        <v>287</v>
      </c>
      <c r="B76" s="353" t="s">
        <v>684</v>
      </c>
      <c r="C76" s="283" t="s">
        <v>797</v>
      </c>
      <c r="D76" s="284"/>
      <c r="E76" s="284"/>
      <c r="F76" s="284"/>
      <c r="G76" s="284"/>
      <c r="H76" s="284"/>
      <c r="I76" s="284"/>
      <c r="J76" s="366">
        <v>3</v>
      </c>
      <c r="K76" s="370">
        <f t="shared" si="6"/>
        <v>0.31914893617021284</v>
      </c>
      <c r="L76" s="371">
        <v>4.5</v>
      </c>
      <c r="M76" s="371">
        <v>0</v>
      </c>
      <c r="N76" s="366">
        <f t="shared" si="2"/>
        <v>3</v>
      </c>
      <c r="O76" s="370">
        <f t="shared" si="3"/>
        <v>0</v>
      </c>
      <c r="P76" s="370">
        <f t="shared" si="4"/>
        <v>0</v>
      </c>
      <c r="Q76" s="366">
        <f t="shared" si="7"/>
        <v>3</v>
      </c>
      <c r="R76" s="370">
        <f t="shared" si="0"/>
        <v>0</v>
      </c>
      <c r="S76" s="366">
        <f t="shared" si="8"/>
        <v>0</v>
      </c>
      <c r="T76" s="366">
        <v>0</v>
      </c>
      <c r="U76" s="370">
        <f t="shared" si="5"/>
        <v>0</v>
      </c>
      <c r="V76" s="370"/>
      <c r="W76" s="372"/>
      <c r="X76" s="370"/>
      <c r="Y76" s="370"/>
      <c r="Z76" s="370"/>
      <c r="AA76" s="370"/>
      <c r="AB76" s="370"/>
      <c r="AC76" s="370"/>
      <c r="AD76" s="370"/>
      <c r="AE76" s="370"/>
      <c r="AF76" s="370"/>
      <c r="AG76" s="370"/>
      <c r="AH76" s="370"/>
      <c r="AI76" s="370"/>
      <c r="AJ76" s="366"/>
      <c r="AK76" s="366"/>
      <c r="AL76" s="360"/>
      <c r="AM76" s="305" t="s">
        <v>823</v>
      </c>
      <c r="AN76" s="305"/>
      <c r="AO76" s="305"/>
      <c r="AP76" s="305"/>
      <c r="AQ76" s="305"/>
      <c r="AR76" s="305"/>
      <c r="AS76" s="305"/>
      <c r="AT76" s="305"/>
      <c r="AU76" s="305"/>
      <c r="AV76" s="305"/>
    </row>
    <row r="77" spans="1:48" s="306" customFormat="1" ht="58.5">
      <c r="A77" s="308" t="s">
        <v>289</v>
      </c>
      <c r="B77" s="355" t="s">
        <v>685</v>
      </c>
      <c r="C77" s="283" t="s">
        <v>797</v>
      </c>
      <c r="D77" s="284"/>
      <c r="E77" s="284"/>
      <c r="F77" s="284"/>
      <c r="G77" s="284"/>
      <c r="H77" s="284"/>
      <c r="I77" s="284"/>
      <c r="J77" s="366">
        <v>3</v>
      </c>
      <c r="K77" s="370">
        <f t="shared" si="6"/>
        <v>0.31914893617021284</v>
      </c>
      <c r="L77" s="371">
        <v>4.5</v>
      </c>
      <c r="M77" s="371">
        <v>4.5</v>
      </c>
      <c r="N77" s="366">
        <f t="shared" si="2"/>
        <v>3</v>
      </c>
      <c r="O77" s="370">
        <f t="shared" si="3"/>
        <v>0.63829787234042568</v>
      </c>
      <c r="P77" s="370">
        <f t="shared" si="4"/>
        <v>4.5</v>
      </c>
      <c r="Q77" s="366">
        <f t="shared" si="7"/>
        <v>3</v>
      </c>
      <c r="R77" s="370">
        <f t="shared" si="0"/>
        <v>0.63829787234042568</v>
      </c>
      <c r="S77" s="366">
        <f t="shared" si="8"/>
        <v>100</v>
      </c>
      <c r="T77" s="366">
        <v>4.4800000000000004</v>
      </c>
      <c r="U77" s="370">
        <f t="shared" si="5"/>
        <v>99.555555555555557</v>
      </c>
      <c r="V77" s="370"/>
      <c r="W77" s="372"/>
      <c r="X77" s="370"/>
      <c r="Y77" s="370"/>
      <c r="Z77" s="370"/>
      <c r="AA77" s="370"/>
      <c r="AB77" s="370"/>
      <c r="AC77" s="370"/>
      <c r="AD77" s="370"/>
      <c r="AE77" s="370"/>
      <c r="AF77" s="370"/>
      <c r="AG77" s="370"/>
      <c r="AH77" s="370"/>
      <c r="AI77" s="370"/>
      <c r="AJ77" s="366"/>
      <c r="AK77" s="366"/>
      <c r="AL77" s="360"/>
      <c r="AM77" s="305" t="s">
        <v>823</v>
      </c>
      <c r="AN77" s="305"/>
      <c r="AO77" s="305"/>
      <c r="AP77" s="305"/>
      <c r="AQ77" s="305"/>
      <c r="AR77" s="305"/>
      <c r="AS77" s="305"/>
      <c r="AT77" s="305"/>
      <c r="AU77" s="305"/>
      <c r="AV77" s="305"/>
    </row>
    <row r="78" spans="1:48" s="306" customFormat="1" ht="33.6" customHeight="1">
      <c r="A78" s="308" t="s">
        <v>598</v>
      </c>
      <c r="B78" s="365" t="s">
        <v>686</v>
      </c>
      <c r="C78" s="340" t="s">
        <v>794</v>
      </c>
      <c r="D78" s="284"/>
      <c r="E78" s="284"/>
      <c r="F78" s="284"/>
      <c r="G78" s="284"/>
      <c r="H78" s="284"/>
      <c r="I78" s="284"/>
      <c r="J78" s="366">
        <v>3.6</v>
      </c>
      <c r="K78" s="370">
        <f t="shared" si="6"/>
        <v>0.7092198581560285</v>
      </c>
      <c r="L78" s="371">
        <v>10</v>
      </c>
      <c r="M78" s="371">
        <v>9.5</v>
      </c>
      <c r="N78" s="366">
        <f t="shared" si="2"/>
        <v>3.6</v>
      </c>
      <c r="O78" s="370">
        <f t="shared" si="3"/>
        <v>1.3475177304964541</v>
      </c>
      <c r="P78" s="370">
        <f t="shared" si="4"/>
        <v>9.5</v>
      </c>
      <c r="Q78" s="366">
        <f t="shared" si="7"/>
        <v>3.6</v>
      </c>
      <c r="R78" s="370">
        <f t="shared" si="0"/>
        <v>1.3475177304964541</v>
      </c>
      <c r="S78" s="366">
        <f t="shared" si="8"/>
        <v>100</v>
      </c>
      <c r="T78" s="366">
        <v>9.4499999999999993</v>
      </c>
      <c r="U78" s="370">
        <f t="shared" si="5"/>
        <v>99.473684210526301</v>
      </c>
      <c r="V78" s="370"/>
      <c r="W78" s="372"/>
      <c r="X78" s="370"/>
      <c r="Y78" s="370"/>
      <c r="Z78" s="370"/>
      <c r="AA78" s="370"/>
      <c r="AB78" s="370"/>
      <c r="AC78" s="370"/>
      <c r="AD78" s="370"/>
      <c r="AE78" s="370"/>
      <c r="AF78" s="370"/>
      <c r="AG78" s="370"/>
      <c r="AH78" s="370"/>
      <c r="AI78" s="370"/>
      <c r="AJ78" s="366"/>
      <c r="AK78" s="366"/>
      <c r="AL78" s="360"/>
      <c r="AM78" s="305" t="s">
        <v>823</v>
      </c>
      <c r="AN78" s="305"/>
      <c r="AO78" s="305"/>
      <c r="AP78" s="305"/>
      <c r="AQ78" s="305"/>
      <c r="AR78" s="305"/>
      <c r="AS78" s="305"/>
      <c r="AT78" s="305"/>
      <c r="AU78" s="305"/>
      <c r="AV78" s="305"/>
    </row>
    <row r="79" spans="1:48" s="306" customFormat="1" ht="40.5">
      <c r="A79" s="308" t="s">
        <v>291</v>
      </c>
      <c r="B79" s="353" t="s">
        <v>687</v>
      </c>
      <c r="C79" s="341" t="s">
        <v>797</v>
      </c>
      <c r="D79" s="284"/>
      <c r="E79" s="284"/>
      <c r="F79" s="284"/>
      <c r="G79" s="284"/>
      <c r="H79" s="284"/>
      <c r="I79" s="284"/>
      <c r="J79" s="366">
        <v>5</v>
      </c>
      <c r="K79" s="370">
        <f t="shared" si="6"/>
        <v>0.35460992907801425</v>
      </c>
      <c r="L79" s="371">
        <v>5</v>
      </c>
      <c r="M79" s="371">
        <v>0</v>
      </c>
      <c r="N79" s="366">
        <f t="shared" si="2"/>
        <v>5</v>
      </c>
      <c r="O79" s="370">
        <f t="shared" si="3"/>
        <v>0</v>
      </c>
      <c r="P79" s="370">
        <f t="shared" si="4"/>
        <v>0</v>
      </c>
      <c r="Q79" s="366">
        <f t="shared" si="7"/>
        <v>5</v>
      </c>
      <c r="R79" s="370">
        <f t="shared" si="0"/>
        <v>0</v>
      </c>
      <c r="S79" s="366">
        <f t="shared" si="8"/>
        <v>0</v>
      </c>
      <c r="T79" s="366">
        <v>0</v>
      </c>
      <c r="U79" s="370">
        <f t="shared" si="5"/>
        <v>0</v>
      </c>
      <c r="V79" s="370"/>
      <c r="W79" s="372"/>
      <c r="X79" s="370"/>
      <c r="Y79" s="370"/>
      <c r="Z79" s="370"/>
      <c r="AA79" s="370"/>
      <c r="AB79" s="370"/>
      <c r="AC79" s="370"/>
      <c r="AD79" s="370"/>
      <c r="AE79" s="370"/>
      <c r="AF79" s="370"/>
      <c r="AG79" s="370"/>
      <c r="AH79" s="370"/>
      <c r="AI79" s="370"/>
      <c r="AJ79" s="366"/>
      <c r="AK79" s="366"/>
      <c r="AL79" s="360"/>
      <c r="AM79" s="305" t="s">
        <v>823</v>
      </c>
      <c r="AN79" s="305"/>
      <c r="AO79" s="305"/>
      <c r="AP79" s="305"/>
      <c r="AQ79" s="305"/>
      <c r="AR79" s="305"/>
      <c r="AS79" s="305"/>
      <c r="AT79" s="305"/>
      <c r="AU79" s="305"/>
      <c r="AV79" s="305"/>
    </row>
    <row r="80" spans="1:48" s="306" customFormat="1" ht="40.5">
      <c r="A80" s="308" t="s">
        <v>293</v>
      </c>
      <c r="B80" s="353" t="s">
        <v>688</v>
      </c>
      <c r="C80" s="341" t="s">
        <v>797</v>
      </c>
      <c r="D80" s="284"/>
      <c r="E80" s="284"/>
      <c r="F80" s="284"/>
      <c r="G80" s="284"/>
      <c r="H80" s="284"/>
      <c r="I80" s="284"/>
      <c r="J80" s="366">
        <v>3</v>
      </c>
      <c r="K80" s="370">
        <f t="shared" si="6"/>
        <v>0.31914893617021284</v>
      </c>
      <c r="L80" s="371">
        <v>4.5</v>
      </c>
      <c r="M80" s="371">
        <v>0</v>
      </c>
      <c r="N80" s="366">
        <f t="shared" si="2"/>
        <v>3</v>
      </c>
      <c r="O80" s="370">
        <f t="shared" si="3"/>
        <v>0</v>
      </c>
      <c r="P80" s="370">
        <f t="shared" si="4"/>
        <v>0</v>
      </c>
      <c r="Q80" s="366">
        <f t="shared" si="7"/>
        <v>3</v>
      </c>
      <c r="R80" s="370">
        <f t="shared" si="0"/>
        <v>0</v>
      </c>
      <c r="S80" s="366">
        <f t="shared" si="8"/>
        <v>0</v>
      </c>
      <c r="T80" s="366">
        <v>0</v>
      </c>
      <c r="U80" s="370">
        <f t="shared" si="5"/>
        <v>0</v>
      </c>
      <c r="V80" s="370"/>
      <c r="W80" s="372"/>
      <c r="X80" s="370"/>
      <c r="Y80" s="370"/>
      <c r="Z80" s="370"/>
      <c r="AA80" s="370"/>
      <c r="AB80" s="370"/>
      <c r="AC80" s="370"/>
      <c r="AD80" s="370"/>
      <c r="AE80" s="370"/>
      <c r="AF80" s="370"/>
      <c r="AG80" s="370"/>
      <c r="AH80" s="370"/>
      <c r="AI80" s="370"/>
      <c r="AJ80" s="366"/>
      <c r="AK80" s="366"/>
      <c r="AL80" s="360"/>
      <c r="AM80" s="305" t="s">
        <v>823</v>
      </c>
      <c r="AN80" s="305"/>
      <c r="AO80" s="305"/>
      <c r="AP80" s="305"/>
      <c r="AQ80" s="305"/>
      <c r="AR80" s="305"/>
      <c r="AS80" s="305"/>
      <c r="AT80" s="305"/>
      <c r="AU80" s="305"/>
      <c r="AV80" s="305"/>
    </row>
    <row r="81" spans="1:48" s="306" customFormat="1" ht="40.5">
      <c r="A81" s="308" t="s">
        <v>297</v>
      </c>
      <c r="B81" s="353" t="s">
        <v>689</v>
      </c>
      <c r="C81" s="341" t="s">
        <v>797</v>
      </c>
      <c r="D81" s="284"/>
      <c r="E81" s="284"/>
      <c r="F81" s="284"/>
      <c r="G81" s="284"/>
      <c r="H81" s="284"/>
      <c r="I81" s="284"/>
      <c r="J81" s="366">
        <v>7.5</v>
      </c>
      <c r="K81" s="370">
        <f t="shared" si="6"/>
        <v>1.0638297872340428</v>
      </c>
      <c r="L81" s="371">
        <v>15</v>
      </c>
      <c r="M81" s="371">
        <v>0</v>
      </c>
      <c r="N81" s="366">
        <f t="shared" si="2"/>
        <v>7.5</v>
      </c>
      <c r="O81" s="370">
        <f t="shared" si="3"/>
        <v>0</v>
      </c>
      <c r="P81" s="370">
        <f t="shared" si="4"/>
        <v>0</v>
      </c>
      <c r="Q81" s="366">
        <f t="shared" si="7"/>
        <v>7.5</v>
      </c>
      <c r="R81" s="370">
        <f t="shared" si="0"/>
        <v>0</v>
      </c>
      <c r="S81" s="366">
        <f t="shared" si="8"/>
        <v>0</v>
      </c>
      <c r="T81" s="366">
        <v>0</v>
      </c>
      <c r="U81" s="370">
        <f t="shared" si="5"/>
        <v>0</v>
      </c>
      <c r="V81" s="370"/>
      <c r="W81" s="372"/>
      <c r="X81" s="370"/>
      <c r="Y81" s="370"/>
      <c r="Z81" s="370"/>
      <c r="AA81" s="370"/>
      <c r="AB81" s="370"/>
      <c r="AC81" s="370"/>
      <c r="AD81" s="370"/>
      <c r="AE81" s="370"/>
      <c r="AF81" s="370"/>
      <c r="AG81" s="370"/>
      <c r="AH81" s="370"/>
      <c r="AI81" s="370"/>
      <c r="AJ81" s="366"/>
      <c r="AK81" s="366"/>
      <c r="AL81" s="360"/>
      <c r="AM81" s="305" t="s">
        <v>823</v>
      </c>
      <c r="AN81" s="305"/>
      <c r="AO81" s="305"/>
      <c r="AP81" s="305"/>
      <c r="AQ81" s="305"/>
      <c r="AR81" s="305"/>
      <c r="AS81" s="305"/>
      <c r="AT81" s="305"/>
      <c r="AU81" s="305"/>
      <c r="AV81" s="305"/>
    </row>
    <row r="82" spans="1:48" s="306" customFormat="1" ht="40.5">
      <c r="A82" s="308" t="s">
        <v>299</v>
      </c>
      <c r="B82" s="353" t="s">
        <v>690</v>
      </c>
      <c r="C82" s="341" t="s">
        <v>797</v>
      </c>
      <c r="D82" s="284"/>
      <c r="E82" s="284"/>
      <c r="F82" s="284"/>
      <c r="G82" s="284"/>
      <c r="H82" s="284"/>
      <c r="I82" s="284"/>
      <c r="J82" s="366">
        <v>1</v>
      </c>
      <c r="K82" s="370">
        <f t="shared" si="6"/>
        <v>0.14184397163120571</v>
      </c>
      <c r="L82" s="371">
        <v>2</v>
      </c>
      <c r="M82" s="371">
        <v>0</v>
      </c>
      <c r="N82" s="366">
        <f t="shared" si="2"/>
        <v>1</v>
      </c>
      <c r="O82" s="370">
        <f t="shared" si="3"/>
        <v>0</v>
      </c>
      <c r="P82" s="370">
        <f t="shared" si="4"/>
        <v>0</v>
      </c>
      <c r="Q82" s="366">
        <f t="shared" si="7"/>
        <v>1</v>
      </c>
      <c r="R82" s="370">
        <f t="shared" si="0"/>
        <v>0</v>
      </c>
      <c r="S82" s="366">
        <f t="shared" si="8"/>
        <v>0</v>
      </c>
      <c r="T82" s="366">
        <v>0</v>
      </c>
      <c r="U82" s="370">
        <f t="shared" si="5"/>
        <v>0</v>
      </c>
      <c r="V82" s="370"/>
      <c r="W82" s="372"/>
      <c r="X82" s="370"/>
      <c r="Y82" s="370"/>
      <c r="Z82" s="370"/>
      <c r="AA82" s="370"/>
      <c r="AB82" s="370"/>
      <c r="AC82" s="370"/>
      <c r="AD82" s="370"/>
      <c r="AE82" s="370"/>
      <c r="AF82" s="370"/>
      <c r="AG82" s="370"/>
      <c r="AH82" s="370"/>
      <c r="AI82" s="370"/>
      <c r="AJ82" s="366"/>
      <c r="AK82" s="366"/>
      <c r="AL82" s="360"/>
      <c r="AM82" s="305" t="s">
        <v>823</v>
      </c>
      <c r="AN82" s="305"/>
      <c r="AO82" s="305"/>
      <c r="AP82" s="305"/>
      <c r="AQ82" s="305"/>
      <c r="AR82" s="305"/>
      <c r="AS82" s="305"/>
      <c r="AT82" s="305"/>
      <c r="AU82" s="305"/>
      <c r="AV82" s="305"/>
    </row>
    <row r="83" spans="1:48" s="306" customFormat="1" ht="39">
      <c r="A83" s="308" t="s">
        <v>301</v>
      </c>
      <c r="B83" s="304" t="s">
        <v>691</v>
      </c>
      <c r="C83" s="341" t="s">
        <v>797</v>
      </c>
      <c r="D83" s="284"/>
      <c r="E83" s="284"/>
      <c r="F83" s="284"/>
      <c r="G83" s="284"/>
      <c r="H83" s="284"/>
      <c r="I83" s="284"/>
      <c r="J83" s="366">
        <v>1</v>
      </c>
      <c r="K83" s="370">
        <f t="shared" si="6"/>
        <v>2.1276595744680855</v>
      </c>
      <c r="L83" s="371">
        <v>30</v>
      </c>
      <c r="M83" s="371">
        <v>0</v>
      </c>
      <c r="N83" s="366">
        <f t="shared" si="2"/>
        <v>1</v>
      </c>
      <c r="O83" s="370">
        <f t="shared" si="3"/>
        <v>0</v>
      </c>
      <c r="P83" s="370">
        <f t="shared" si="4"/>
        <v>0</v>
      </c>
      <c r="Q83" s="366">
        <f t="shared" si="7"/>
        <v>1</v>
      </c>
      <c r="R83" s="370">
        <f t="shared" si="0"/>
        <v>0</v>
      </c>
      <c r="S83" s="366">
        <f t="shared" si="8"/>
        <v>0</v>
      </c>
      <c r="T83" s="366">
        <v>0</v>
      </c>
      <c r="U83" s="370">
        <f t="shared" si="5"/>
        <v>0</v>
      </c>
      <c r="V83" s="370"/>
      <c r="W83" s="372"/>
      <c r="X83" s="370"/>
      <c r="Y83" s="370"/>
      <c r="Z83" s="370"/>
      <c r="AA83" s="370"/>
      <c r="AB83" s="370"/>
      <c r="AC83" s="370"/>
      <c r="AD83" s="370"/>
      <c r="AE83" s="370"/>
      <c r="AF83" s="370"/>
      <c r="AG83" s="370"/>
      <c r="AH83" s="370"/>
      <c r="AI83" s="370"/>
      <c r="AJ83" s="366"/>
      <c r="AK83" s="366"/>
      <c r="AL83" s="360"/>
      <c r="AM83" s="305" t="s">
        <v>823</v>
      </c>
      <c r="AN83" s="305"/>
      <c r="AO83" s="305"/>
      <c r="AP83" s="305"/>
      <c r="AQ83" s="305"/>
      <c r="AR83" s="305"/>
      <c r="AS83" s="305"/>
      <c r="AT83" s="305"/>
      <c r="AU83" s="305"/>
      <c r="AV83" s="305"/>
    </row>
    <row r="84" spans="1:48" s="306" customFormat="1" ht="58.5">
      <c r="A84" s="308" t="s">
        <v>692</v>
      </c>
      <c r="B84" s="304" t="s">
        <v>693</v>
      </c>
      <c r="C84" s="341" t="s">
        <v>797</v>
      </c>
      <c r="D84" s="284"/>
      <c r="E84" s="284"/>
      <c r="F84" s="284"/>
      <c r="G84" s="284"/>
      <c r="H84" s="284"/>
      <c r="I84" s="284"/>
      <c r="J84" s="366">
        <v>1</v>
      </c>
      <c r="K84" s="370">
        <f t="shared" si="6"/>
        <v>1.418439716312057</v>
      </c>
      <c r="L84" s="371">
        <v>20</v>
      </c>
      <c r="M84" s="371">
        <v>20</v>
      </c>
      <c r="N84" s="366">
        <f t="shared" si="2"/>
        <v>1</v>
      </c>
      <c r="O84" s="370">
        <f t="shared" si="3"/>
        <v>2.836879432624114</v>
      </c>
      <c r="P84" s="370">
        <f t="shared" si="4"/>
        <v>20</v>
      </c>
      <c r="Q84" s="366">
        <f t="shared" si="7"/>
        <v>1</v>
      </c>
      <c r="R84" s="370">
        <f t="shared" si="0"/>
        <v>2.836879432624114</v>
      </c>
      <c r="S84" s="366">
        <f t="shared" si="8"/>
        <v>100</v>
      </c>
      <c r="T84" s="366">
        <v>15.5</v>
      </c>
      <c r="U84" s="370">
        <f t="shared" si="5"/>
        <v>77.5</v>
      </c>
      <c r="V84" s="370"/>
      <c r="W84" s="372"/>
      <c r="X84" s="370"/>
      <c r="Y84" s="370"/>
      <c r="Z84" s="370"/>
      <c r="AA84" s="370"/>
      <c r="AB84" s="370"/>
      <c r="AC84" s="370"/>
      <c r="AD84" s="370"/>
      <c r="AE84" s="370"/>
      <c r="AF84" s="370"/>
      <c r="AG84" s="370"/>
      <c r="AH84" s="370"/>
      <c r="AI84" s="370"/>
      <c r="AJ84" s="366"/>
      <c r="AK84" s="366"/>
      <c r="AL84" s="360"/>
      <c r="AM84" s="305" t="s">
        <v>823</v>
      </c>
      <c r="AN84" s="305"/>
      <c r="AO84" s="305"/>
      <c r="AP84" s="305"/>
      <c r="AQ84" s="305"/>
      <c r="AR84" s="305"/>
      <c r="AS84" s="305"/>
      <c r="AT84" s="305"/>
      <c r="AU84" s="305"/>
      <c r="AV84" s="305"/>
    </row>
    <row r="85" spans="1:48" s="306" customFormat="1" ht="39">
      <c r="A85" s="304" t="s">
        <v>305</v>
      </c>
      <c r="B85" s="304" t="s">
        <v>694</v>
      </c>
      <c r="C85" s="341" t="s">
        <v>797</v>
      </c>
      <c r="D85" s="284"/>
      <c r="E85" s="284"/>
      <c r="F85" s="284"/>
      <c r="G85" s="284"/>
      <c r="H85" s="284"/>
      <c r="I85" s="284"/>
      <c r="J85" s="366">
        <v>5</v>
      </c>
      <c r="K85" s="370">
        <f t="shared" si="6"/>
        <v>0.35460992907801425</v>
      </c>
      <c r="L85" s="371">
        <v>5</v>
      </c>
      <c r="M85" s="371">
        <v>5</v>
      </c>
      <c r="N85" s="366">
        <f t="shared" si="2"/>
        <v>5</v>
      </c>
      <c r="O85" s="370">
        <f t="shared" si="3"/>
        <v>0.7092198581560285</v>
      </c>
      <c r="P85" s="370">
        <f t="shared" si="4"/>
        <v>5</v>
      </c>
      <c r="Q85" s="366">
        <f t="shared" si="7"/>
        <v>5</v>
      </c>
      <c r="R85" s="370">
        <f t="shared" si="0"/>
        <v>0.7092198581560285</v>
      </c>
      <c r="S85" s="366">
        <f t="shared" si="8"/>
        <v>100</v>
      </c>
      <c r="T85" s="366">
        <v>4.87</v>
      </c>
      <c r="U85" s="370">
        <f t="shared" si="5"/>
        <v>97.399999999999991</v>
      </c>
      <c r="V85" s="370"/>
      <c r="W85" s="372"/>
      <c r="X85" s="370"/>
      <c r="Y85" s="370"/>
      <c r="Z85" s="370"/>
      <c r="AA85" s="370"/>
      <c r="AB85" s="370"/>
      <c r="AC85" s="370"/>
      <c r="AD85" s="370"/>
      <c r="AE85" s="370"/>
      <c r="AF85" s="370"/>
      <c r="AG85" s="370"/>
      <c r="AH85" s="370"/>
      <c r="AI85" s="370"/>
      <c r="AJ85" s="366"/>
      <c r="AK85" s="366"/>
      <c r="AL85" s="360"/>
      <c r="AM85" s="305" t="s">
        <v>823</v>
      </c>
      <c r="AN85" s="305"/>
      <c r="AO85" s="305"/>
      <c r="AP85" s="305"/>
      <c r="AQ85" s="305"/>
      <c r="AR85" s="305"/>
      <c r="AS85" s="305"/>
      <c r="AT85" s="305"/>
      <c r="AU85" s="305"/>
      <c r="AV85" s="305"/>
    </row>
    <row r="86" spans="1:48" s="306" customFormat="1" ht="58.5">
      <c r="A86" s="304" t="s">
        <v>307</v>
      </c>
      <c r="B86" s="304" t="s">
        <v>695</v>
      </c>
      <c r="C86" s="341" t="s">
        <v>797</v>
      </c>
      <c r="D86" s="284"/>
      <c r="E86" s="284"/>
      <c r="F86" s="284"/>
      <c r="G86" s="284"/>
      <c r="H86" s="284"/>
      <c r="I86" s="284"/>
      <c r="J86" s="366">
        <v>1</v>
      </c>
      <c r="K86" s="370">
        <f t="shared" si="6"/>
        <v>1.0638297872340428</v>
      </c>
      <c r="L86" s="371">
        <v>15</v>
      </c>
      <c r="M86" s="371">
        <v>7.5</v>
      </c>
      <c r="N86" s="366">
        <f t="shared" si="2"/>
        <v>1</v>
      </c>
      <c r="O86" s="370">
        <f t="shared" si="3"/>
        <v>1.0638297872340428</v>
      </c>
      <c r="P86" s="370">
        <f t="shared" si="4"/>
        <v>7.5</v>
      </c>
      <c r="Q86" s="366">
        <f t="shared" si="7"/>
        <v>1</v>
      </c>
      <c r="R86" s="370">
        <f t="shared" ref="R86:R134" si="12">IF(N86=0,Q86/J86*K86,Q86/N86*O86)</f>
        <v>1.0638297872340428</v>
      </c>
      <c r="S86" s="366">
        <f t="shared" si="8"/>
        <v>100</v>
      </c>
      <c r="T86" s="366">
        <v>6.93</v>
      </c>
      <c r="U86" s="370">
        <f t="shared" si="5"/>
        <v>92.399999999999991</v>
      </c>
      <c r="V86" s="370"/>
      <c r="W86" s="372"/>
      <c r="X86" s="370"/>
      <c r="Y86" s="370"/>
      <c r="Z86" s="370"/>
      <c r="AA86" s="370"/>
      <c r="AB86" s="370"/>
      <c r="AC86" s="370"/>
      <c r="AD86" s="370"/>
      <c r="AE86" s="370"/>
      <c r="AF86" s="370"/>
      <c r="AG86" s="370"/>
      <c r="AH86" s="370"/>
      <c r="AI86" s="370"/>
      <c r="AJ86" s="366"/>
      <c r="AK86" s="366"/>
      <c r="AL86" s="360"/>
      <c r="AM86" s="305" t="s">
        <v>823</v>
      </c>
      <c r="AN86" s="305"/>
      <c r="AO86" s="305"/>
      <c r="AP86" s="305"/>
      <c r="AQ86" s="305"/>
      <c r="AR86" s="305"/>
      <c r="AS86" s="305"/>
      <c r="AT86" s="305"/>
      <c r="AU86" s="305"/>
      <c r="AV86" s="305"/>
    </row>
    <row r="87" spans="1:48" s="306" customFormat="1" ht="39">
      <c r="A87" s="304" t="s">
        <v>309</v>
      </c>
      <c r="B87" s="304" t="s">
        <v>696</v>
      </c>
      <c r="C87" s="341" t="s">
        <v>797</v>
      </c>
      <c r="D87" s="284"/>
      <c r="E87" s="284"/>
      <c r="F87" s="284"/>
      <c r="G87" s="284"/>
      <c r="H87" s="284"/>
      <c r="I87" s="284"/>
      <c r="J87" s="366">
        <v>1</v>
      </c>
      <c r="K87" s="370">
        <f t="shared" si="6"/>
        <v>7.0921985815602842</v>
      </c>
      <c r="L87" s="371">
        <v>100</v>
      </c>
      <c r="M87" s="371">
        <v>30.5</v>
      </c>
      <c r="N87" s="366">
        <f t="shared" ref="N87:N134" si="13">J87</f>
        <v>1</v>
      </c>
      <c r="O87" s="370">
        <f t="shared" ref="O87:O134" si="14">P87/$P$136*100</f>
        <v>4.3262411347517737</v>
      </c>
      <c r="P87" s="370">
        <f t="shared" ref="P87:P134" si="15">M87</f>
        <v>30.5</v>
      </c>
      <c r="Q87" s="366">
        <f t="shared" si="7"/>
        <v>1</v>
      </c>
      <c r="R87" s="370">
        <f t="shared" si="12"/>
        <v>4.3262411347517737</v>
      </c>
      <c r="S87" s="366">
        <f t="shared" si="8"/>
        <v>100</v>
      </c>
      <c r="T87" s="366">
        <v>30.35</v>
      </c>
      <c r="U87" s="370">
        <f t="shared" ref="U87:U134" si="16">IFERROR(T87/P87*100,0)</f>
        <v>99.508196721311478</v>
      </c>
      <c r="V87" s="370"/>
      <c r="W87" s="372"/>
      <c r="X87" s="370"/>
      <c r="Y87" s="370"/>
      <c r="Z87" s="370"/>
      <c r="AA87" s="370"/>
      <c r="AB87" s="370"/>
      <c r="AC87" s="370"/>
      <c r="AD87" s="370"/>
      <c r="AE87" s="370"/>
      <c r="AF87" s="370"/>
      <c r="AG87" s="370"/>
      <c r="AH87" s="370"/>
      <c r="AI87" s="370"/>
      <c r="AJ87" s="366"/>
      <c r="AK87" s="366"/>
      <c r="AL87" s="360"/>
      <c r="AM87" s="305" t="s">
        <v>823</v>
      </c>
      <c r="AN87" s="305"/>
      <c r="AO87" s="305"/>
      <c r="AP87" s="305"/>
      <c r="AQ87" s="305"/>
      <c r="AR87" s="305"/>
      <c r="AS87" s="305"/>
      <c r="AT87" s="305"/>
      <c r="AU87" s="305"/>
      <c r="AV87" s="305"/>
    </row>
    <row r="88" spans="1:48" s="306" customFormat="1" ht="39">
      <c r="A88" s="304" t="s">
        <v>311</v>
      </c>
      <c r="B88" s="304" t="s">
        <v>697</v>
      </c>
      <c r="C88" s="341" t="s">
        <v>797</v>
      </c>
      <c r="D88" s="284"/>
      <c r="E88" s="284"/>
      <c r="F88" s="284"/>
      <c r="G88" s="284"/>
      <c r="H88" s="284"/>
      <c r="I88" s="284"/>
      <c r="J88" s="366">
        <v>1</v>
      </c>
      <c r="K88" s="370">
        <f t="shared" ref="K88:K134" si="17">(L88/$L$135)*100</f>
        <v>7.0921985815602856E-2</v>
      </c>
      <c r="L88" s="371">
        <v>1</v>
      </c>
      <c r="M88" s="371">
        <v>0</v>
      </c>
      <c r="N88" s="366">
        <f t="shared" si="13"/>
        <v>1</v>
      </c>
      <c r="O88" s="370">
        <f t="shared" si="14"/>
        <v>0</v>
      </c>
      <c r="P88" s="370">
        <f t="shared" si="15"/>
        <v>0</v>
      </c>
      <c r="Q88" s="366">
        <f t="shared" ref="Q88:Q133" si="18">J88</f>
        <v>1</v>
      </c>
      <c r="R88" s="370">
        <f t="shared" si="12"/>
        <v>0</v>
      </c>
      <c r="S88" s="366">
        <f t="shared" si="8"/>
        <v>0</v>
      </c>
      <c r="T88" s="366">
        <v>0</v>
      </c>
      <c r="U88" s="370">
        <f t="shared" si="16"/>
        <v>0</v>
      </c>
      <c r="V88" s="370"/>
      <c r="W88" s="372"/>
      <c r="X88" s="370"/>
      <c r="Y88" s="370"/>
      <c r="Z88" s="370"/>
      <c r="AA88" s="370"/>
      <c r="AB88" s="370"/>
      <c r="AC88" s="370"/>
      <c r="AD88" s="370"/>
      <c r="AE88" s="370"/>
      <c r="AF88" s="370"/>
      <c r="AG88" s="370"/>
      <c r="AH88" s="370"/>
      <c r="AI88" s="370"/>
      <c r="AJ88" s="366"/>
      <c r="AK88" s="366"/>
      <c r="AL88" s="360"/>
      <c r="AM88" s="305" t="s">
        <v>823</v>
      </c>
      <c r="AN88" s="305"/>
      <c r="AO88" s="305"/>
      <c r="AP88" s="305"/>
      <c r="AQ88" s="305"/>
      <c r="AR88" s="305"/>
      <c r="AS88" s="305"/>
      <c r="AT88" s="305"/>
      <c r="AU88" s="305"/>
      <c r="AV88" s="305"/>
    </row>
    <row r="89" spans="1:48" s="306" customFormat="1" ht="39">
      <c r="A89" s="304" t="s">
        <v>313</v>
      </c>
      <c r="B89" s="304" t="s">
        <v>698</v>
      </c>
      <c r="C89" s="341" t="s">
        <v>797</v>
      </c>
      <c r="D89" s="284"/>
      <c r="E89" s="284"/>
      <c r="F89" s="284"/>
      <c r="G89" s="284"/>
      <c r="H89" s="284"/>
      <c r="I89" s="284"/>
      <c r="J89" s="366">
        <v>1</v>
      </c>
      <c r="K89" s="370">
        <f t="shared" si="17"/>
        <v>7.0921985815602856E-2</v>
      </c>
      <c r="L89" s="371">
        <v>1</v>
      </c>
      <c r="M89" s="371">
        <v>0</v>
      </c>
      <c r="N89" s="366">
        <f t="shared" si="13"/>
        <v>1</v>
      </c>
      <c r="O89" s="370">
        <f t="shared" si="14"/>
        <v>0</v>
      </c>
      <c r="P89" s="370">
        <f t="shared" si="15"/>
        <v>0</v>
      </c>
      <c r="Q89" s="366">
        <f t="shared" si="18"/>
        <v>1</v>
      </c>
      <c r="R89" s="370">
        <f t="shared" si="12"/>
        <v>0</v>
      </c>
      <c r="S89" s="366">
        <f t="shared" si="8"/>
        <v>0</v>
      </c>
      <c r="T89" s="366">
        <v>0</v>
      </c>
      <c r="U89" s="370">
        <f t="shared" si="16"/>
        <v>0</v>
      </c>
      <c r="V89" s="370"/>
      <c r="W89" s="372"/>
      <c r="X89" s="370"/>
      <c r="Y89" s="370"/>
      <c r="Z89" s="370"/>
      <c r="AA89" s="370"/>
      <c r="AB89" s="370"/>
      <c r="AC89" s="370"/>
      <c r="AD89" s="370"/>
      <c r="AE89" s="370"/>
      <c r="AF89" s="370"/>
      <c r="AG89" s="370"/>
      <c r="AH89" s="370"/>
      <c r="AI89" s="370"/>
      <c r="AJ89" s="366"/>
      <c r="AK89" s="366"/>
      <c r="AL89" s="360"/>
      <c r="AM89" s="305" t="s">
        <v>823</v>
      </c>
      <c r="AN89" s="305"/>
      <c r="AO89" s="305"/>
      <c r="AP89" s="305"/>
      <c r="AQ89" s="305"/>
      <c r="AR89" s="305"/>
      <c r="AS89" s="305"/>
      <c r="AT89" s="305"/>
      <c r="AU89" s="305"/>
      <c r="AV89" s="305"/>
    </row>
    <row r="90" spans="1:48" s="306" customFormat="1" ht="39">
      <c r="A90" s="304" t="s">
        <v>315</v>
      </c>
      <c r="B90" s="304" t="s">
        <v>699</v>
      </c>
      <c r="C90" s="341" t="s">
        <v>797</v>
      </c>
      <c r="D90" s="284"/>
      <c r="E90" s="284"/>
      <c r="F90" s="284"/>
      <c r="G90" s="284"/>
      <c r="H90" s="284"/>
      <c r="I90" s="284"/>
      <c r="J90" s="366">
        <v>1</v>
      </c>
      <c r="K90" s="370">
        <f t="shared" si="17"/>
        <v>7.0921985815602856E-2</v>
      </c>
      <c r="L90" s="371">
        <v>1</v>
      </c>
      <c r="M90" s="371">
        <v>0</v>
      </c>
      <c r="N90" s="366">
        <f t="shared" si="13"/>
        <v>1</v>
      </c>
      <c r="O90" s="370">
        <f t="shared" si="14"/>
        <v>0</v>
      </c>
      <c r="P90" s="370">
        <f t="shared" si="15"/>
        <v>0</v>
      </c>
      <c r="Q90" s="366">
        <f t="shared" si="18"/>
        <v>1</v>
      </c>
      <c r="R90" s="370">
        <f t="shared" si="12"/>
        <v>0</v>
      </c>
      <c r="S90" s="366">
        <f t="shared" si="8"/>
        <v>0</v>
      </c>
      <c r="T90" s="366">
        <v>0</v>
      </c>
      <c r="U90" s="370">
        <f t="shared" si="16"/>
        <v>0</v>
      </c>
      <c r="V90" s="370"/>
      <c r="W90" s="372"/>
      <c r="X90" s="370"/>
      <c r="Y90" s="370"/>
      <c r="Z90" s="370"/>
      <c r="AA90" s="370"/>
      <c r="AB90" s="370"/>
      <c r="AC90" s="370"/>
      <c r="AD90" s="370"/>
      <c r="AE90" s="370"/>
      <c r="AF90" s="370"/>
      <c r="AG90" s="370"/>
      <c r="AH90" s="370"/>
      <c r="AI90" s="370"/>
      <c r="AJ90" s="366"/>
      <c r="AK90" s="366"/>
      <c r="AL90" s="360"/>
      <c r="AM90" s="305" t="s">
        <v>823</v>
      </c>
      <c r="AN90" s="305"/>
      <c r="AO90" s="305"/>
      <c r="AP90" s="305"/>
      <c r="AQ90" s="305"/>
      <c r="AR90" s="305"/>
      <c r="AS90" s="305"/>
      <c r="AT90" s="305"/>
      <c r="AU90" s="305"/>
      <c r="AV90" s="305"/>
    </row>
    <row r="91" spans="1:48" s="306" customFormat="1" ht="58.5">
      <c r="A91" s="304" t="s">
        <v>317</v>
      </c>
      <c r="B91" s="304" t="s">
        <v>700</v>
      </c>
      <c r="C91" s="341" t="s">
        <v>797</v>
      </c>
      <c r="D91" s="284"/>
      <c r="E91" s="284"/>
      <c r="F91" s="284"/>
      <c r="G91" s="284"/>
      <c r="H91" s="284"/>
      <c r="I91" s="284"/>
      <c r="J91" s="366">
        <v>1</v>
      </c>
      <c r="K91" s="370">
        <f t="shared" si="17"/>
        <v>7.0921985815602856E-2</v>
      </c>
      <c r="L91" s="371">
        <v>1</v>
      </c>
      <c r="M91" s="371">
        <v>0</v>
      </c>
      <c r="N91" s="366">
        <f t="shared" si="13"/>
        <v>1</v>
      </c>
      <c r="O91" s="370">
        <f t="shared" si="14"/>
        <v>0</v>
      </c>
      <c r="P91" s="370">
        <f t="shared" si="15"/>
        <v>0</v>
      </c>
      <c r="Q91" s="366">
        <f t="shared" si="18"/>
        <v>1</v>
      </c>
      <c r="R91" s="370">
        <f t="shared" si="12"/>
        <v>0</v>
      </c>
      <c r="S91" s="366">
        <f t="shared" si="8"/>
        <v>0</v>
      </c>
      <c r="T91" s="366">
        <v>0</v>
      </c>
      <c r="U91" s="370">
        <f t="shared" si="16"/>
        <v>0</v>
      </c>
      <c r="V91" s="370"/>
      <c r="W91" s="372"/>
      <c r="X91" s="370"/>
      <c r="Y91" s="370"/>
      <c r="Z91" s="370"/>
      <c r="AA91" s="370"/>
      <c r="AB91" s="370"/>
      <c r="AC91" s="370"/>
      <c r="AD91" s="370"/>
      <c r="AE91" s="370"/>
      <c r="AF91" s="370"/>
      <c r="AG91" s="370"/>
      <c r="AH91" s="370"/>
      <c r="AI91" s="370"/>
      <c r="AJ91" s="366"/>
      <c r="AK91" s="366"/>
      <c r="AL91" s="360"/>
      <c r="AM91" s="305" t="s">
        <v>823</v>
      </c>
      <c r="AN91" s="305"/>
      <c r="AO91" s="305"/>
      <c r="AP91" s="305"/>
      <c r="AQ91" s="305"/>
      <c r="AR91" s="305"/>
      <c r="AS91" s="305"/>
      <c r="AT91" s="305"/>
      <c r="AU91" s="305"/>
      <c r="AV91" s="305"/>
    </row>
    <row r="92" spans="1:48" s="306" customFormat="1" ht="58.5">
      <c r="A92" s="304" t="s">
        <v>319</v>
      </c>
      <c r="B92" s="304" t="s">
        <v>701</v>
      </c>
      <c r="C92" s="341" t="s">
        <v>797</v>
      </c>
      <c r="D92" s="284"/>
      <c r="E92" s="284"/>
      <c r="F92" s="284"/>
      <c r="G92" s="284"/>
      <c r="H92" s="284"/>
      <c r="I92" s="284"/>
      <c r="J92" s="366">
        <v>1</v>
      </c>
      <c r="K92" s="370">
        <f t="shared" si="17"/>
        <v>7.0921985815602856E-2</v>
      </c>
      <c r="L92" s="371">
        <v>1</v>
      </c>
      <c r="M92" s="371">
        <v>0</v>
      </c>
      <c r="N92" s="366">
        <f t="shared" si="13"/>
        <v>1</v>
      </c>
      <c r="O92" s="370">
        <f t="shared" si="14"/>
        <v>0</v>
      </c>
      <c r="P92" s="370">
        <f t="shared" si="15"/>
        <v>0</v>
      </c>
      <c r="Q92" s="366">
        <f t="shared" si="18"/>
        <v>1</v>
      </c>
      <c r="R92" s="370">
        <f t="shared" si="12"/>
        <v>0</v>
      </c>
      <c r="S92" s="366">
        <f t="shared" si="8"/>
        <v>0</v>
      </c>
      <c r="T92" s="366">
        <v>0</v>
      </c>
      <c r="U92" s="370">
        <f t="shared" si="16"/>
        <v>0</v>
      </c>
      <c r="V92" s="370"/>
      <c r="W92" s="372"/>
      <c r="X92" s="370"/>
      <c r="Y92" s="370"/>
      <c r="Z92" s="370"/>
      <c r="AA92" s="370"/>
      <c r="AB92" s="370"/>
      <c r="AC92" s="370"/>
      <c r="AD92" s="370"/>
      <c r="AE92" s="370"/>
      <c r="AF92" s="370"/>
      <c r="AG92" s="370"/>
      <c r="AH92" s="370"/>
      <c r="AI92" s="370"/>
      <c r="AJ92" s="366"/>
      <c r="AK92" s="366"/>
      <c r="AL92" s="360"/>
      <c r="AM92" s="305" t="s">
        <v>823</v>
      </c>
      <c r="AN92" s="305"/>
      <c r="AO92" s="305"/>
      <c r="AP92" s="305"/>
      <c r="AQ92" s="305"/>
      <c r="AR92" s="305"/>
      <c r="AS92" s="305"/>
      <c r="AT92" s="305"/>
      <c r="AU92" s="305"/>
      <c r="AV92" s="305"/>
    </row>
    <row r="93" spans="1:48" s="306" customFormat="1" ht="39">
      <c r="A93" s="304" t="s">
        <v>321</v>
      </c>
      <c r="B93" s="304" t="s">
        <v>702</v>
      </c>
      <c r="C93" s="341" t="s">
        <v>797</v>
      </c>
      <c r="D93" s="284"/>
      <c r="E93" s="284"/>
      <c r="F93" s="284"/>
      <c r="G93" s="284"/>
      <c r="H93" s="284"/>
      <c r="I93" s="284"/>
      <c r="J93" s="366">
        <v>20.67</v>
      </c>
      <c r="K93" s="370">
        <f t="shared" si="17"/>
        <v>2.1985815602836882</v>
      </c>
      <c r="L93" s="371">
        <v>31</v>
      </c>
      <c r="M93" s="371">
        <v>20.56</v>
      </c>
      <c r="N93" s="366">
        <f t="shared" si="13"/>
        <v>20.67</v>
      </c>
      <c r="O93" s="370">
        <f t="shared" si="14"/>
        <v>2.9163120567375889</v>
      </c>
      <c r="P93" s="370">
        <f t="shared" si="15"/>
        <v>20.56</v>
      </c>
      <c r="Q93" s="366">
        <f t="shared" si="18"/>
        <v>20.67</v>
      </c>
      <c r="R93" s="370">
        <f t="shared" si="12"/>
        <v>2.9163120567375889</v>
      </c>
      <c r="S93" s="366">
        <f t="shared" si="8"/>
        <v>100</v>
      </c>
      <c r="T93" s="366">
        <v>20.420000000000002</v>
      </c>
      <c r="U93" s="370">
        <f t="shared" si="16"/>
        <v>99.319066147859942</v>
      </c>
      <c r="V93" s="370"/>
      <c r="W93" s="372"/>
      <c r="X93" s="370"/>
      <c r="Y93" s="370"/>
      <c r="Z93" s="370"/>
      <c r="AA93" s="370"/>
      <c r="AB93" s="370"/>
      <c r="AC93" s="370"/>
      <c r="AD93" s="370"/>
      <c r="AE93" s="370"/>
      <c r="AF93" s="370"/>
      <c r="AG93" s="370"/>
      <c r="AH93" s="370"/>
      <c r="AI93" s="370"/>
      <c r="AJ93" s="366"/>
      <c r="AK93" s="366"/>
      <c r="AL93" s="360"/>
      <c r="AM93" s="305" t="s">
        <v>823</v>
      </c>
      <c r="AN93" s="305"/>
      <c r="AO93" s="305"/>
      <c r="AP93" s="305"/>
      <c r="AQ93" s="305"/>
      <c r="AR93" s="305"/>
      <c r="AS93" s="305"/>
      <c r="AT93" s="305"/>
      <c r="AU93" s="305"/>
      <c r="AV93" s="305"/>
    </row>
    <row r="94" spans="1:48" s="306" customFormat="1" ht="39">
      <c r="A94" s="304" t="s">
        <v>325</v>
      </c>
      <c r="B94" s="304" t="s">
        <v>703</v>
      </c>
      <c r="C94" s="341" t="s">
        <v>797</v>
      </c>
      <c r="D94" s="284"/>
      <c r="E94" s="284"/>
      <c r="F94" s="284"/>
      <c r="G94" s="284"/>
      <c r="H94" s="284"/>
      <c r="I94" s="284"/>
      <c r="J94" s="366">
        <v>10</v>
      </c>
      <c r="K94" s="370">
        <f t="shared" si="17"/>
        <v>1.418439716312057</v>
      </c>
      <c r="L94" s="371">
        <v>20</v>
      </c>
      <c r="M94" s="371">
        <v>14.48</v>
      </c>
      <c r="N94" s="366">
        <f t="shared" si="13"/>
        <v>10</v>
      </c>
      <c r="O94" s="370">
        <f t="shared" si="14"/>
        <v>2.0539007092198589</v>
      </c>
      <c r="P94" s="370">
        <f t="shared" si="15"/>
        <v>14.48</v>
      </c>
      <c r="Q94" s="366">
        <f t="shared" si="18"/>
        <v>10</v>
      </c>
      <c r="R94" s="370">
        <f t="shared" si="12"/>
        <v>2.0539007092198589</v>
      </c>
      <c r="S94" s="366">
        <f t="shared" si="8"/>
        <v>100</v>
      </c>
      <c r="T94" s="366">
        <v>14.47</v>
      </c>
      <c r="U94" s="370">
        <f t="shared" si="16"/>
        <v>99.930939226519328</v>
      </c>
      <c r="V94" s="370"/>
      <c r="W94" s="372"/>
      <c r="X94" s="370"/>
      <c r="Y94" s="370"/>
      <c r="Z94" s="370"/>
      <c r="AA94" s="370"/>
      <c r="AB94" s="370"/>
      <c r="AC94" s="370"/>
      <c r="AD94" s="370"/>
      <c r="AE94" s="370"/>
      <c r="AF94" s="370"/>
      <c r="AG94" s="370"/>
      <c r="AH94" s="370"/>
      <c r="AI94" s="370"/>
      <c r="AJ94" s="366"/>
      <c r="AK94" s="366"/>
      <c r="AL94" s="360"/>
      <c r="AM94" s="305" t="s">
        <v>823</v>
      </c>
      <c r="AN94" s="305"/>
      <c r="AO94" s="305"/>
      <c r="AP94" s="305"/>
      <c r="AQ94" s="305"/>
      <c r="AR94" s="305"/>
      <c r="AS94" s="305"/>
      <c r="AT94" s="305"/>
      <c r="AU94" s="305"/>
      <c r="AV94" s="305"/>
    </row>
    <row r="95" spans="1:48" s="306" customFormat="1" ht="39" hidden="1">
      <c r="A95" s="304" t="s">
        <v>818</v>
      </c>
      <c r="B95" s="379" t="s">
        <v>705</v>
      </c>
      <c r="C95" s="283" t="s">
        <v>795</v>
      </c>
      <c r="D95" s="284"/>
      <c r="E95" s="284"/>
      <c r="F95" s="284"/>
      <c r="G95" s="284"/>
      <c r="H95" s="284"/>
      <c r="I95" s="284"/>
      <c r="J95" s="366">
        <v>1</v>
      </c>
      <c r="K95" s="370">
        <f t="shared" si="17"/>
        <v>5.3191489361702136</v>
      </c>
      <c r="L95" s="371">
        <v>75</v>
      </c>
      <c r="M95" s="371">
        <v>73.099999999999994</v>
      </c>
      <c r="N95" s="366">
        <f t="shared" si="13"/>
        <v>1</v>
      </c>
      <c r="O95" s="370">
        <f t="shared" si="14"/>
        <v>10.368794326241137</v>
      </c>
      <c r="P95" s="370">
        <f t="shared" si="15"/>
        <v>73.099999999999994</v>
      </c>
      <c r="Q95" s="366">
        <f t="shared" si="18"/>
        <v>1</v>
      </c>
      <c r="R95" s="370">
        <f t="shared" si="12"/>
        <v>10.368794326241137</v>
      </c>
      <c r="S95" s="366">
        <f t="shared" si="8"/>
        <v>100</v>
      </c>
      <c r="T95" s="366">
        <v>71.7</v>
      </c>
      <c r="U95" s="370">
        <f t="shared" si="16"/>
        <v>98.084815321477436</v>
      </c>
      <c r="V95" s="370"/>
      <c r="W95" s="372"/>
      <c r="X95" s="370"/>
      <c r="Y95" s="370"/>
      <c r="Z95" s="370"/>
      <c r="AA95" s="370"/>
      <c r="AB95" s="370"/>
      <c r="AC95" s="370"/>
      <c r="AD95" s="370"/>
      <c r="AE95" s="370"/>
      <c r="AF95" s="370"/>
      <c r="AG95" s="370"/>
      <c r="AH95" s="370"/>
      <c r="AI95" s="370"/>
      <c r="AJ95" s="366"/>
      <c r="AK95" s="366"/>
      <c r="AL95" s="360"/>
      <c r="AM95" s="305" t="s">
        <v>824</v>
      </c>
      <c r="AN95" s="305"/>
      <c r="AO95" s="305"/>
      <c r="AP95" s="305"/>
      <c r="AQ95" s="305"/>
      <c r="AR95" s="305"/>
      <c r="AS95" s="305"/>
      <c r="AT95" s="305"/>
      <c r="AU95" s="305"/>
      <c r="AV95" s="305"/>
    </row>
    <row r="96" spans="1:48" s="306" customFormat="1" ht="39">
      <c r="A96" s="304" t="s">
        <v>327</v>
      </c>
      <c r="B96" s="304" t="s">
        <v>706</v>
      </c>
      <c r="C96" s="341" t="s">
        <v>797</v>
      </c>
      <c r="D96" s="284"/>
      <c r="E96" s="284"/>
      <c r="F96" s="284"/>
      <c r="G96" s="284"/>
      <c r="H96" s="284"/>
      <c r="I96" s="284"/>
      <c r="J96" s="366">
        <v>1</v>
      </c>
      <c r="K96" s="370">
        <f t="shared" si="17"/>
        <v>7.0921985815602856E-2</v>
      </c>
      <c r="L96" s="371">
        <v>1</v>
      </c>
      <c r="M96" s="371">
        <v>0</v>
      </c>
      <c r="N96" s="366">
        <f t="shared" si="13"/>
        <v>1</v>
      </c>
      <c r="O96" s="370">
        <f t="shared" si="14"/>
        <v>0</v>
      </c>
      <c r="P96" s="370">
        <f t="shared" si="15"/>
        <v>0</v>
      </c>
      <c r="Q96" s="366">
        <f t="shared" si="18"/>
        <v>1</v>
      </c>
      <c r="R96" s="370">
        <f t="shared" si="12"/>
        <v>0</v>
      </c>
      <c r="S96" s="366">
        <f t="shared" ref="S96:S124" si="19">ROUND(IF(O96=0,R96/K96*100,R96/O96*100),2)</f>
        <v>0</v>
      </c>
      <c r="T96" s="366">
        <v>0</v>
      </c>
      <c r="U96" s="370">
        <f t="shared" si="16"/>
        <v>0</v>
      </c>
      <c r="V96" s="370"/>
      <c r="W96" s="372"/>
      <c r="X96" s="370"/>
      <c r="Y96" s="370"/>
      <c r="Z96" s="370"/>
      <c r="AA96" s="370"/>
      <c r="AB96" s="370"/>
      <c r="AC96" s="370"/>
      <c r="AD96" s="370"/>
      <c r="AE96" s="370"/>
      <c r="AF96" s="370"/>
      <c r="AG96" s="370"/>
      <c r="AH96" s="370"/>
      <c r="AI96" s="370"/>
      <c r="AJ96" s="366"/>
      <c r="AK96" s="366"/>
      <c r="AL96" s="360"/>
      <c r="AM96" s="305" t="s">
        <v>823</v>
      </c>
      <c r="AN96" s="305"/>
      <c r="AO96" s="305"/>
      <c r="AP96" s="305"/>
      <c r="AQ96" s="305"/>
      <c r="AR96" s="305"/>
      <c r="AS96" s="305"/>
      <c r="AT96" s="305"/>
      <c r="AU96" s="305"/>
      <c r="AV96" s="305"/>
    </row>
    <row r="97" spans="1:48" s="306" customFormat="1" ht="39">
      <c r="A97" s="304" t="s">
        <v>329</v>
      </c>
      <c r="B97" s="304" t="s">
        <v>707</v>
      </c>
      <c r="C97" s="341" t="s">
        <v>797</v>
      </c>
      <c r="D97" s="284"/>
      <c r="E97" s="284"/>
      <c r="F97" s="284"/>
      <c r="G97" s="284"/>
      <c r="H97" s="284"/>
      <c r="I97" s="284"/>
      <c r="J97" s="366">
        <v>0.5</v>
      </c>
      <c r="K97" s="370">
        <f t="shared" si="17"/>
        <v>3.5460992907801428E-2</v>
      </c>
      <c r="L97" s="371">
        <v>0.5</v>
      </c>
      <c r="M97" s="371">
        <v>0.5</v>
      </c>
      <c r="N97" s="366">
        <f t="shared" si="13"/>
        <v>0.5</v>
      </c>
      <c r="O97" s="370">
        <f t="shared" si="14"/>
        <v>7.0921985815602856E-2</v>
      </c>
      <c r="P97" s="370">
        <f t="shared" si="15"/>
        <v>0.5</v>
      </c>
      <c r="Q97" s="366">
        <f t="shared" si="18"/>
        <v>0.5</v>
      </c>
      <c r="R97" s="370">
        <f t="shared" si="12"/>
        <v>7.0921985815602856E-2</v>
      </c>
      <c r="S97" s="366">
        <f t="shared" si="19"/>
        <v>100</v>
      </c>
      <c r="T97" s="366">
        <v>0.31</v>
      </c>
      <c r="U97" s="370">
        <f t="shared" si="16"/>
        <v>62</v>
      </c>
      <c r="V97" s="370"/>
      <c r="W97" s="372"/>
      <c r="X97" s="370"/>
      <c r="Y97" s="370"/>
      <c r="Z97" s="370"/>
      <c r="AA97" s="370"/>
      <c r="AB97" s="370"/>
      <c r="AC97" s="370"/>
      <c r="AD97" s="370"/>
      <c r="AE97" s="370"/>
      <c r="AF97" s="370"/>
      <c r="AG97" s="370"/>
      <c r="AH97" s="370"/>
      <c r="AI97" s="370"/>
      <c r="AJ97" s="366"/>
      <c r="AK97" s="366"/>
      <c r="AL97" s="360"/>
      <c r="AM97" s="305" t="s">
        <v>823</v>
      </c>
      <c r="AN97" s="305"/>
      <c r="AO97" s="305"/>
      <c r="AP97" s="305"/>
      <c r="AQ97" s="305"/>
      <c r="AR97" s="305"/>
      <c r="AS97" s="305"/>
      <c r="AT97" s="305"/>
      <c r="AU97" s="305"/>
      <c r="AV97" s="305"/>
    </row>
    <row r="98" spans="1:48" s="306" customFormat="1" ht="39">
      <c r="A98" s="304" t="s">
        <v>331</v>
      </c>
      <c r="B98" s="304" t="s">
        <v>708</v>
      </c>
      <c r="C98" s="341" t="s">
        <v>797</v>
      </c>
      <c r="D98" s="284"/>
      <c r="E98" s="284"/>
      <c r="F98" s="284"/>
      <c r="G98" s="284"/>
      <c r="H98" s="284"/>
      <c r="I98" s="284"/>
      <c r="J98" s="366">
        <v>0.5</v>
      </c>
      <c r="K98" s="370">
        <f t="shared" si="17"/>
        <v>3.5460992907801428E-2</v>
      </c>
      <c r="L98" s="371">
        <v>0.5</v>
      </c>
      <c r="M98" s="371">
        <v>0</v>
      </c>
      <c r="N98" s="366">
        <f t="shared" si="13"/>
        <v>0.5</v>
      </c>
      <c r="O98" s="370">
        <f t="shared" si="14"/>
        <v>0</v>
      </c>
      <c r="P98" s="370">
        <f t="shared" si="15"/>
        <v>0</v>
      </c>
      <c r="Q98" s="366">
        <f t="shared" si="18"/>
        <v>0.5</v>
      </c>
      <c r="R98" s="370">
        <f t="shared" si="12"/>
        <v>0</v>
      </c>
      <c r="S98" s="366">
        <f t="shared" si="19"/>
        <v>0</v>
      </c>
      <c r="T98" s="366">
        <v>0</v>
      </c>
      <c r="U98" s="370">
        <f t="shared" si="16"/>
        <v>0</v>
      </c>
      <c r="V98" s="370"/>
      <c r="W98" s="372"/>
      <c r="X98" s="370"/>
      <c r="Y98" s="370"/>
      <c r="Z98" s="370"/>
      <c r="AA98" s="370"/>
      <c r="AB98" s="370"/>
      <c r="AC98" s="370"/>
      <c r="AD98" s="370"/>
      <c r="AE98" s="370"/>
      <c r="AF98" s="370"/>
      <c r="AG98" s="370"/>
      <c r="AH98" s="370"/>
      <c r="AI98" s="370"/>
      <c r="AJ98" s="366"/>
      <c r="AK98" s="366"/>
      <c r="AL98" s="360"/>
      <c r="AM98" s="305" t="s">
        <v>823</v>
      </c>
      <c r="AN98" s="305"/>
      <c r="AO98" s="305"/>
      <c r="AP98" s="305"/>
      <c r="AQ98" s="305"/>
      <c r="AR98" s="305"/>
      <c r="AS98" s="305"/>
      <c r="AT98" s="305"/>
      <c r="AU98" s="305"/>
      <c r="AV98" s="305"/>
    </row>
    <row r="99" spans="1:48" s="306" customFormat="1" ht="39">
      <c r="A99" s="304" t="s">
        <v>333</v>
      </c>
      <c r="B99" s="304" t="s">
        <v>709</v>
      </c>
      <c r="C99" s="341" t="s">
        <v>797</v>
      </c>
      <c r="D99" s="284"/>
      <c r="E99" s="284"/>
      <c r="F99" s="284"/>
      <c r="G99" s="284"/>
      <c r="H99" s="284"/>
      <c r="I99" s="284"/>
      <c r="J99" s="366">
        <v>0.5</v>
      </c>
      <c r="K99" s="370">
        <f t="shared" si="17"/>
        <v>3.5460992907801428E-2</v>
      </c>
      <c r="L99" s="371">
        <v>0.5</v>
      </c>
      <c r="M99" s="371">
        <v>0</v>
      </c>
      <c r="N99" s="366">
        <f t="shared" si="13"/>
        <v>0.5</v>
      </c>
      <c r="O99" s="370">
        <f t="shared" si="14"/>
        <v>0</v>
      </c>
      <c r="P99" s="370">
        <f t="shared" si="15"/>
        <v>0</v>
      </c>
      <c r="Q99" s="366">
        <f t="shared" si="18"/>
        <v>0.5</v>
      </c>
      <c r="R99" s="370">
        <f t="shared" si="12"/>
        <v>0</v>
      </c>
      <c r="S99" s="366">
        <f t="shared" si="19"/>
        <v>0</v>
      </c>
      <c r="T99" s="366">
        <v>0</v>
      </c>
      <c r="U99" s="370">
        <f t="shared" si="16"/>
        <v>0</v>
      </c>
      <c r="V99" s="370"/>
      <c r="W99" s="372"/>
      <c r="X99" s="370"/>
      <c r="Y99" s="370"/>
      <c r="Z99" s="370"/>
      <c r="AA99" s="370"/>
      <c r="AB99" s="370"/>
      <c r="AC99" s="370"/>
      <c r="AD99" s="370"/>
      <c r="AE99" s="370"/>
      <c r="AF99" s="370"/>
      <c r="AG99" s="370"/>
      <c r="AH99" s="370"/>
      <c r="AI99" s="370"/>
      <c r="AJ99" s="366"/>
      <c r="AK99" s="366"/>
      <c r="AL99" s="360"/>
      <c r="AM99" s="305" t="s">
        <v>823</v>
      </c>
      <c r="AN99" s="305"/>
      <c r="AO99" s="305"/>
      <c r="AP99" s="305"/>
      <c r="AQ99" s="305"/>
      <c r="AR99" s="305"/>
      <c r="AS99" s="305"/>
      <c r="AT99" s="305"/>
      <c r="AU99" s="305"/>
      <c r="AV99" s="305"/>
    </row>
    <row r="100" spans="1:48" s="306" customFormat="1" ht="39">
      <c r="A100" s="304" t="s">
        <v>335</v>
      </c>
      <c r="B100" s="304" t="s">
        <v>710</v>
      </c>
      <c r="C100" s="341" t="s">
        <v>797</v>
      </c>
      <c r="D100" s="284"/>
      <c r="E100" s="284"/>
      <c r="F100" s="284"/>
      <c r="G100" s="284"/>
      <c r="H100" s="284"/>
      <c r="I100" s="284"/>
      <c r="J100" s="366">
        <v>0.5</v>
      </c>
      <c r="K100" s="370">
        <f t="shared" si="17"/>
        <v>3.5460992907801428E-2</v>
      </c>
      <c r="L100" s="371">
        <v>0.5</v>
      </c>
      <c r="M100" s="371">
        <v>0</v>
      </c>
      <c r="N100" s="366">
        <f t="shared" si="13"/>
        <v>0.5</v>
      </c>
      <c r="O100" s="370">
        <f t="shared" si="14"/>
        <v>0</v>
      </c>
      <c r="P100" s="370">
        <f t="shared" si="15"/>
        <v>0</v>
      </c>
      <c r="Q100" s="366">
        <f t="shared" si="18"/>
        <v>0.5</v>
      </c>
      <c r="R100" s="370">
        <f t="shared" si="12"/>
        <v>0</v>
      </c>
      <c r="S100" s="366">
        <f t="shared" si="19"/>
        <v>0</v>
      </c>
      <c r="T100" s="366">
        <v>0</v>
      </c>
      <c r="U100" s="370">
        <f t="shared" si="16"/>
        <v>0</v>
      </c>
      <c r="V100" s="370"/>
      <c r="W100" s="372"/>
      <c r="X100" s="370"/>
      <c r="Y100" s="370"/>
      <c r="Z100" s="370"/>
      <c r="AA100" s="370"/>
      <c r="AB100" s="370"/>
      <c r="AC100" s="370"/>
      <c r="AD100" s="370"/>
      <c r="AE100" s="370"/>
      <c r="AF100" s="370"/>
      <c r="AG100" s="370"/>
      <c r="AH100" s="370"/>
      <c r="AI100" s="370"/>
      <c r="AJ100" s="366"/>
      <c r="AK100" s="366"/>
      <c r="AL100" s="360"/>
      <c r="AM100" s="305" t="s">
        <v>823</v>
      </c>
      <c r="AN100" s="305"/>
      <c r="AO100" s="305"/>
      <c r="AP100" s="305"/>
      <c r="AQ100" s="305"/>
      <c r="AR100" s="305"/>
      <c r="AS100" s="305"/>
      <c r="AT100" s="305"/>
      <c r="AU100" s="305"/>
      <c r="AV100" s="305"/>
    </row>
    <row r="101" spans="1:48" s="306" customFormat="1" ht="58.5">
      <c r="A101" s="304" t="s">
        <v>337</v>
      </c>
      <c r="B101" s="304" t="s">
        <v>711</v>
      </c>
      <c r="C101" s="341" t="s">
        <v>797</v>
      </c>
      <c r="D101" s="284"/>
      <c r="E101" s="284"/>
      <c r="F101" s="284"/>
      <c r="G101" s="284"/>
      <c r="H101" s="284"/>
      <c r="I101" s="284"/>
      <c r="J101" s="366">
        <v>0.5</v>
      </c>
      <c r="K101" s="370">
        <f t="shared" si="17"/>
        <v>3.5460992907801428E-2</v>
      </c>
      <c r="L101" s="371">
        <v>0.5</v>
      </c>
      <c r="M101" s="371">
        <v>0</v>
      </c>
      <c r="N101" s="366">
        <f t="shared" si="13"/>
        <v>0.5</v>
      </c>
      <c r="O101" s="370">
        <f t="shared" si="14"/>
        <v>0</v>
      </c>
      <c r="P101" s="370">
        <f t="shared" si="15"/>
        <v>0</v>
      </c>
      <c r="Q101" s="366">
        <f t="shared" si="18"/>
        <v>0.5</v>
      </c>
      <c r="R101" s="370">
        <f t="shared" si="12"/>
        <v>0</v>
      </c>
      <c r="S101" s="366">
        <f t="shared" si="19"/>
        <v>0</v>
      </c>
      <c r="T101" s="366">
        <v>0</v>
      </c>
      <c r="U101" s="370">
        <f t="shared" si="16"/>
        <v>0</v>
      </c>
      <c r="V101" s="370"/>
      <c r="W101" s="372"/>
      <c r="X101" s="370"/>
      <c r="Y101" s="370"/>
      <c r="Z101" s="370"/>
      <c r="AA101" s="370"/>
      <c r="AB101" s="370"/>
      <c r="AC101" s="370"/>
      <c r="AD101" s="370"/>
      <c r="AE101" s="370"/>
      <c r="AF101" s="370"/>
      <c r="AG101" s="370"/>
      <c r="AH101" s="370"/>
      <c r="AI101" s="370"/>
      <c r="AJ101" s="366"/>
      <c r="AK101" s="366"/>
      <c r="AL101" s="360"/>
      <c r="AM101" s="305" t="s">
        <v>823</v>
      </c>
      <c r="AN101" s="305"/>
      <c r="AO101" s="305"/>
      <c r="AP101" s="305"/>
      <c r="AQ101" s="305"/>
      <c r="AR101" s="305"/>
      <c r="AS101" s="305"/>
      <c r="AT101" s="305"/>
      <c r="AU101" s="305"/>
      <c r="AV101" s="305"/>
    </row>
    <row r="102" spans="1:48" s="306" customFormat="1" ht="39">
      <c r="A102" s="304" t="s">
        <v>339</v>
      </c>
      <c r="B102" s="304" t="s">
        <v>712</v>
      </c>
      <c r="C102" s="341" t="s">
        <v>797</v>
      </c>
      <c r="D102" s="284"/>
      <c r="E102" s="284"/>
      <c r="F102" s="284"/>
      <c r="G102" s="284"/>
      <c r="H102" s="284"/>
      <c r="I102" s="284"/>
      <c r="J102" s="366">
        <v>0.5</v>
      </c>
      <c r="K102" s="370">
        <f t="shared" si="17"/>
        <v>0.27304964539007098</v>
      </c>
      <c r="L102" s="371">
        <v>3.85</v>
      </c>
      <c r="M102" s="371">
        <v>0</v>
      </c>
      <c r="N102" s="366">
        <f t="shared" si="13"/>
        <v>0.5</v>
      </c>
      <c r="O102" s="370">
        <f t="shared" si="14"/>
        <v>0</v>
      </c>
      <c r="P102" s="370">
        <f t="shared" si="15"/>
        <v>0</v>
      </c>
      <c r="Q102" s="366">
        <f t="shared" si="18"/>
        <v>0.5</v>
      </c>
      <c r="R102" s="370">
        <f t="shared" si="12"/>
        <v>0</v>
      </c>
      <c r="S102" s="366">
        <f t="shared" si="19"/>
        <v>0</v>
      </c>
      <c r="T102" s="366">
        <v>0</v>
      </c>
      <c r="U102" s="370">
        <f t="shared" si="16"/>
        <v>0</v>
      </c>
      <c r="V102" s="370"/>
      <c r="W102" s="372"/>
      <c r="X102" s="370"/>
      <c r="Y102" s="370"/>
      <c r="Z102" s="370"/>
      <c r="AA102" s="370"/>
      <c r="AB102" s="370"/>
      <c r="AC102" s="370"/>
      <c r="AD102" s="370"/>
      <c r="AE102" s="370"/>
      <c r="AF102" s="370"/>
      <c r="AG102" s="370"/>
      <c r="AH102" s="370"/>
      <c r="AI102" s="370"/>
      <c r="AJ102" s="366"/>
      <c r="AK102" s="366"/>
      <c r="AL102" s="360"/>
      <c r="AM102" s="305" t="s">
        <v>823</v>
      </c>
      <c r="AN102" s="305"/>
      <c r="AO102" s="305"/>
      <c r="AP102" s="305"/>
      <c r="AQ102" s="305"/>
      <c r="AR102" s="305"/>
      <c r="AS102" s="305"/>
      <c r="AT102" s="305"/>
      <c r="AU102" s="305"/>
      <c r="AV102" s="305"/>
    </row>
    <row r="103" spans="1:48" s="306" customFormat="1" ht="39">
      <c r="A103" s="304" t="s">
        <v>715</v>
      </c>
      <c r="B103" s="304" t="s">
        <v>713</v>
      </c>
      <c r="C103" s="341" t="s">
        <v>797</v>
      </c>
      <c r="D103" s="284"/>
      <c r="E103" s="284"/>
      <c r="F103" s="284"/>
      <c r="G103" s="284"/>
      <c r="H103" s="284"/>
      <c r="I103" s="284"/>
      <c r="J103" s="366">
        <v>1</v>
      </c>
      <c r="K103" s="370">
        <f t="shared" si="17"/>
        <v>0.35460992907801425</v>
      </c>
      <c r="L103" s="371">
        <v>5</v>
      </c>
      <c r="M103" s="371">
        <v>0</v>
      </c>
      <c r="N103" s="366">
        <f t="shared" si="13"/>
        <v>1</v>
      </c>
      <c r="O103" s="370">
        <f t="shared" si="14"/>
        <v>0</v>
      </c>
      <c r="P103" s="370">
        <f t="shared" si="15"/>
        <v>0</v>
      </c>
      <c r="Q103" s="366">
        <f t="shared" si="18"/>
        <v>1</v>
      </c>
      <c r="R103" s="370">
        <f t="shared" si="12"/>
        <v>0</v>
      </c>
      <c r="S103" s="366">
        <f t="shared" si="19"/>
        <v>0</v>
      </c>
      <c r="T103" s="366">
        <v>0</v>
      </c>
      <c r="U103" s="370">
        <f t="shared" si="16"/>
        <v>0</v>
      </c>
      <c r="V103" s="370"/>
      <c r="W103" s="372"/>
      <c r="X103" s="370"/>
      <c r="Y103" s="370"/>
      <c r="Z103" s="370"/>
      <c r="AA103" s="370"/>
      <c r="AB103" s="370"/>
      <c r="AC103" s="370"/>
      <c r="AD103" s="370"/>
      <c r="AE103" s="370"/>
      <c r="AF103" s="370"/>
      <c r="AG103" s="370"/>
      <c r="AH103" s="370"/>
      <c r="AI103" s="370"/>
      <c r="AJ103" s="366"/>
      <c r="AK103" s="366"/>
      <c r="AL103" s="360"/>
      <c r="AM103" s="305" t="s">
        <v>823</v>
      </c>
      <c r="AN103" s="305"/>
      <c r="AO103" s="305"/>
      <c r="AP103" s="305"/>
      <c r="AQ103" s="305"/>
      <c r="AR103" s="305"/>
      <c r="AS103" s="305"/>
      <c r="AT103" s="305"/>
      <c r="AU103" s="305"/>
      <c r="AV103" s="305"/>
    </row>
    <row r="104" spans="1:48" s="306" customFormat="1" ht="39">
      <c r="A104" s="304" t="s">
        <v>343</v>
      </c>
      <c r="B104" s="304" t="s">
        <v>714</v>
      </c>
      <c r="C104" s="341" t="s">
        <v>797</v>
      </c>
      <c r="D104" s="284"/>
      <c r="E104" s="284"/>
      <c r="F104" s="284"/>
      <c r="G104" s="284"/>
      <c r="H104" s="284"/>
      <c r="I104" s="284"/>
      <c r="J104" s="366">
        <v>1</v>
      </c>
      <c r="K104" s="370">
        <f t="shared" si="17"/>
        <v>7.0921985815602856E-2</v>
      </c>
      <c r="L104" s="371">
        <v>1</v>
      </c>
      <c r="M104" s="371">
        <v>0</v>
      </c>
      <c r="N104" s="366">
        <f t="shared" si="13"/>
        <v>1</v>
      </c>
      <c r="O104" s="370">
        <f t="shared" si="14"/>
        <v>0</v>
      </c>
      <c r="P104" s="370">
        <f t="shared" si="15"/>
        <v>0</v>
      </c>
      <c r="Q104" s="366">
        <f t="shared" si="18"/>
        <v>1</v>
      </c>
      <c r="R104" s="370">
        <f t="shared" si="12"/>
        <v>0</v>
      </c>
      <c r="S104" s="366">
        <f t="shared" si="19"/>
        <v>0</v>
      </c>
      <c r="T104" s="366">
        <v>0</v>
      </c>
      <c r="U104" s="370">
        <f t="shared" si="16"/>
        <v>0</v>
      </c>
      <c r="V104" s="370"/>
      <c r="W104" s="372"/>
      <c r="X104" s="370"/>
      <c r="Y104" s="370"/>
      <c r="Z104" s="370"/>
      <c r="AA104" s="370"/>
      <c r="AB104" s="370"/>
      <c r="AC104" s="370"/>
      <c r="AD104" s="370"/>
      <c r="AE104" s="370"/>
      <c r="AF104" s="370"/>
      <c r="AG104" s="370"/>
      <c r="AH104" s="370"/>
      <c r="AI104" s="370"/>
      <c r="AJ104" s="366"/>
      <c r="AK104" s="366"/>
      <c r="AL104" s="360"/>
      <c r="AM104" s="305" t="s">
        <v>823</v>
      </c>
      <c r="AN104" s="305"/>
      <c r="AO104" s="305"/>
      <c r="AP104" s="305"/>
      <c r="AQ104" s="305"/>
      <c r="AR104" s="305"/>
      <c r="AS104" s="305"/>
      <c r="AT104" s="305"/>
      <c r="AU104" s="305"/>
      <c r="AV104" s="305"/>
    </row>
    <row r="105" spans="1:48" s="306" customFormat="1" ht="58.5">
      <c r="A105" s="304" t="s">
        <v>716</v>
      </c>
      <c r="B105" s="304" t="s">
        <v>717</v>
      </c>
      <c r="C105" s="341" t="s">
        <v>797</v>
      </c>
      <c r="D105" s="284"/>
      <c r="E105" s="284"/>
      <c r="F105" s="284"/>
      <c r="G105" s="284"/>
      <c r="H105" s="284"/>
      <c r="I105" s="284"/>
      <c r="J105" s="366">
        <v>1</v>
      </c>
      <c r="K105" s="370">
        <f t="shared" si="17"/>
        <v>0.35460992907801425</v>
      </c>
      <c r="L105" s="371">
        <v>5</v>
      </c>
      <c r="M105" s="371">
        <v>0</v>
      </c>
      <c r="N105" s="366">
        <f t="shared" si="13"/>
        <v>1</v>
      </c>
      <c r="O105" s="370">
        <f t="shared" si="14"/>
        <v>0</v>
      </c>
      <c r="P105" s="370">
        <f t="shared" si="15"/>
        <v>0</v>
      </c>
      <c r="Q105" s="366">
        <f t="shared" si="18"/>
        <v>1</v>
      </c>
      <c r="R105" s="370">
        <f t="shared" si="12"/>
        <v>0</v>
      </c>
      <c r="S105" s="366">
        <f t="shared" si="19"/>
        <v>0</v>
      </c>
      <c r="T105" s="366">
        <v>0</v>
      </c>
      <c r="U105" s="370">
        <f t="shared" si="16"/>
        <v>0</v>
      </c>
      <c r="V105" s="370"/>
      <c r="W105" s="372"/>
      <c r="X105" s="370"/>
      <c r="Y105" s="370"/>
      <c r="Z105" s="370"/>
      <c r="AA105" s="370"/>
      <c r="AB105" s="370"/>
      <c r="AC105" s="370"/>
      <c r="AD105" s="370"/>
      <c r="AE105" s="370"/>
      <c r="AF105" s="370"/>
      <c r="AG105" s="370"/>
      <c r="AH105" s="370"/>
      <c r="AI105" s="370"/>
      <c r="AJ105" s="366"/>
      <c r="AK105" s="366"/>
      <c r="AL105" s="360"/>
      <c r="AM105" s="305" t="s">
        <v>823</v>
      </c>
      <c r="AN105" s="305"/>
      <c r="AO105" s="305"/>
      <c r="AP105" s="305"/>
      <c r="AQ105" s="305"/>
      <c r="AR105" s="305"/>
      <c r="AS105" s="305"/>
      <c r="AT105" s="305"/>
      <c r="AU105" s="305"/>
      <c r="AV105" s="305"/>
    </row>
    <row r="106" spans="1:48" s="306" customFormat="1" ht="78">
      <c r="A106" s="304" t="s">
        <v>718</v>
      </c>
      <c r="B106" s="304" t="s">
        <v>719</v>
      </c>
      <c r="C106" s="341" t="s">
        <v>797</v>
      </c>
      <c r="D106" s="284"/>
      <c r="E106" s="284"/>
      <c r="F106" s="284"/>
      <c r="G106" s="284"/>
      <c r="H106" s="284"/>
      <c r="I106" s="284"/>
      <c r="J106" s="366">
        <v>1</v>
      </c>
      <c r="K106" s="370">
        <f t="shared" si="17"/>
        <v>0.35460992907801425</v>
      </c>
      <c r="L106" s="371">
        <v>5</v>
      </c>
      <c r="M106" s="371">
        <v>0</v>
      </c>
      <c r="N106" s="366">
        <f t="shared" si="13"/>
        <v>1</v>
      </c>
      <c r="O106" s="370">
        <f t="shared" si="14"/>
        <v>0</v>
      </c>
      <c r="P106" s="370">
        <f t="shared" si="15"/>
        <v>0</v>
      </c>
      <c r="Q106" s="366">
        <f t="shared" si="18"/>
        <v>1</v>
      </c>
      <c r="R106" s="370">
        <f t="shared" si="12"/>
        <v>0</v>
      </c>
      <c r="S106" s="366">
        <f t="shared" si="19"/>
        <v>0</v>
      </c>
      <c r="T106" s="366">
        <v>0</v>
      </c>
      <c r="U106" s="370">
        <f t="shared" si="16"/>
        <v>0</v>
      </c>
      <c r="V106" s="370"/>
      <c r="W106" s="372"/>
      <c r="X106" s="370"/>
      <c r="Y106" s="370"/>
      <c r="Z106" s="370"/>
      <c r="AA106" s="370"/>
      <c r="AB106" s="370"/>
      <c r="AC106" s="370"/>
      <c r="AD106" s="370"/>
      <c r="AE106" s="370"/>
      <c r="AF106" s="370"/>
      <c r="AG106" s="370"/>
      <c r="AH106" s="370"/>
      <c r="AI106" s="370"/>
      <c r="AJ106" s="366"/>
      <c r="AK106" s="366"/>
      <c r="AL106" s="360"/>
      <c r="AM106" s="305" t="s">
        <v>823</v>
      </c>
      <c r="AN106" s="305"/>
      <c r="AO106" s="305"/>
      <c r="AP106" s="305"/>
      <c r="AQ106" s="305"/>
      <c r="AR106" s="305"/>
      <c r="AS106" s="305"/>
      <c r="AT106" s="305"/>
      <c r="AU106" s="305"/>
      <c r="AV106" s="305"/>
    </row>
    <row r="107" spans="1:48" s="306" customFormat="1" ht="39">
      <c r="A107" s="304" t="s">
        <v>345</v>
      </c>
      <c r="B107" s="304" t="s">
        <v>720</v>
      </c>
      <c r="C107" s="341" t="s">
        <v>797</v>
      </c>
      <c r="D107" s="284"/>
      <c r="E107" s="284"/>
      <c r="F107" s="284"/>
      <c r="G107" s="284"/>
      <c r="H107" s="284"/>
      <c r="I107" s="284"/>
      <c r="J107" s="366">
        <v>0.1</v>
      </c>
      <c r="K107" s="370">
        <f t="shared" si="17"/>
        <v>7.0921985815602853E-3</v>
      </c>
      <c r="L107" s="371">
        <v>0.1</v>
      </c>
      <c r="M107" s="371">
        <v>0</v>
      </c>
      <c r="N107" s="366">
        <f t="shared" si="13"/>
        <v>0.1</v>
      </c>
      <c r="O107" s="370">
        <f t="shared" si="14"/>
        <v>0</v>
      </c>
      <c r="P107" s="370">
        <f t="shared" si="15"/>
        <v>0</v>
      </c>
      <c r="Q107" s="366">
        <f t="shared" si="18"/>
        <v>0.1</v>
      </c>
      <c r="R107" s="370">
        <f t="shared" si="12"/>
        <v>0</v>
      </c>
      <c r="S107" s="366">
        <f t="shared" si="19"/>
        <v>0</v>
      </c>
      <c r="T107" s="366">
        <v>0</v>
      </c>
      <c r="U107" s="370">
        <f t="shared" si="16"/>
        <v>0</v>
      </c>
      <c r="V107" s="370"/>
      <c r="W107" s="372"/>
      <c r="X107" s="370"/>
      <c r="Y107" s="370"/>
      <c r="Z107" s="370"/>
      <c r="AA107" s="370"/>
      <c r="AB107" s="370"/>
      <c r="AC107" s="370"/>
      <c r="AD107" s="370"/>
      <c r="AE107" s="370"/>
      <c r="AF107" s="370"/>
      <c r="AG107" s="370"/>
      <c r="AH107" s="370"/>
      <c r="AI107" s="370"/>
      <c r="AJ107" s="366"/>
      <c r="AK107" s="366"/>
      <c r="AL107" s="360"/>
      <c r="AM107" s="305" t="s">
        <v>823</v>
      </c>
      <c r="AN107" s="305"/>
      <c r="AO107" s="305"/>
      <c r="AP107" s="305"/>
      <c r="AQ107" s="305"/>
      <c r="AR107" s="305"/>
      <c r="AS107" s="305"/>
      <c r="AT107" s="305"/>
      <c r="AU107" s="305"/>
      <c r="AV107" s="305"/>
    </row>
    <row r="108" spans="1:48" s="306" customFormat="1" ht="39">
      <c r="A108" s="304" t="s">
        <v>347</v>
      </c>
      <c r="B108" s="304" t="s">
        <v>721</v>
      </c>
      <c r="C108" s="341" t="s">
        <v>797</v>
      </c>
      <c r="D108" s="284"/>
      <c r="E108" s="284"/>
      <c r="F108" s="284"/>
      <c r="G108" s="284"/>
      <c r="H108" s="284"/>
      <c r="I108" s="284"/>
      <c r="J108" s="366">
        <v>1</v>
      </c>
      <c r="K108" s="370">
        <f t="shared" si="17"/>
        <v>7.0921985815602856E-2</v>
      </c>
      <c r="L108" s="371">
        <v>1</v>
      </c>
      <c r="M108" s="371">
        <v>0</v>
      </c>
      <c r="N108" s="366">
        <f t="shared" si="13"/>
        <v>1</v>
      </c>
      <c r="O108" s="370">
        <f t="shared" si="14"/>
        <v>0</v>
      </c>
      <c r="P108" s="370">
        <f t="shared" si="15"/>
        <v>0</v>
      </c>
      <c r="Q108" s="366">
        <f t="shared" si="18"/>
        <v>1</v>
      </c>
      <c r="R108" s="370">
        <f t="shared" si="12"/>
        <v>0</v>
      </c>
      <c r="S108" s="366">
        <f t="shared" si="19"/>
        <v>0</v>
      </c>
      <c r="T108" s="366">
        <v>0</v>
      </c>
      <c r="U108" s="370">
        <f t="shared" si="16"/>
        <v>0</v>
      </c>
      <c r="V108" s="370"/>
      <c r="W108" s="372"/>
      <c r="X108" s="370"/>
      <c r="Y108" s="370"/>
      <c r="Z108" s="370"/>
      <c r="AA108" s="370"/>
      <c r="AB108" s="370"/>
      <c r="AC108" s="370"/>
      <c r="AD108" s="370"/>
      <c r="AE108" s="370"/>
      <c r="AF108" s="370"/>
      <c r="AG108" s="370"/>
      <c r="AH108" s="370"/>
      <c r="AI108" s="370"/>
      <c r="AJ108" s="366"/>
      <c r="AK108" s="366"/>
      <c r="AL108" s="360"/>
      <c r="AM108" s="305" t="s">
        <v>823</v>
      </c>
      <c r="AN108" s="305"/>
      <c r="AO108" s="305"/>
      <c r="AP108" s="305"/>
      <c r="AQ108" s="305"/>
      <c r="AR108" s="305"/>
      <c r="AS108" s="305"/>
      <c r="AT108" s="305"/>
      <c r="AU108" s="305"/>
      <c r="AV108" s="305"/>
    </row>
    <row r="109" spans="1:48" s="306" customFormat="1" ht="58.5">
      <c r="A109" s="304" t="s">
        <v>349</v>
      </c>
      <c r="B109" s="304" t="s">
        <v>722</v>
      </c>
      <c r="C109" s="341" t="s">
        <v>797</v>
      </c>
      <c r="D109" s="284"/>
      <c r="E109" s="284"/>
      <c r="F109" s="284"/>
      <c r="G109" s="284"/>
      <c r="H109" s="284"/>
      <c r="I109" s="284"/>
      <c r="J109" s="366">
        <v>1</v>
      </c>
      <c r="K109" s="370">
        <f t="shared" si="17"/>
        <v>7.0921985815602856E-2</v>
      </c>
      <c r="L109" s="371">
        <v>1</v>
      </c>
      <c r="M109" s="371">
        <v>0</v>
      </c>
      <c r="N109" s="366">
        <f t="shared" si="13"/>
        <v>1</v>
      </c>
      <c r="O109" s="370">
        <f t="shared" si="14"/>
        <v>0</v>
      </c>
      <c r="P109" s="370">
        <f t="shared" si="15"/>
        <v>0</v>
      </c>
      <c r="Q109" s="366">
        <f t="shared" si="18"/>
        <v>1</v>
      </c>
      <c r="R109" s="370">
        <f t="shared" si="12"/>
        <v>0</v>
      </c>
      <c r="S109" s="366">
        <f t="shared" si="19"/>
        <v>0</v>
      </c>
      <c r="T109" s="366">
        <v>0</v>
      </c>
      <c r="U109" s="370">
        <f t="shared" si="16"/>
        <v>0</v>
      </c>
      <c r="V109" s="370"/>
      <c r="W109" s="372"/>
      <c r="X109" s="370"/>
      <c r="Y109" s="370"/>
      <c r="Z109" s="370"/>
      <c r="AA109" s="370"/>
      <c r="AB109" s="370"/>
      <c r="AC109" s="370"/>
      <c r="AD109" s="370"/>
      <c r="AE109" s="370"/>
      <c r="AF109" s="370"/>
      <c r="AG109" s="370"/>
      <c r="AH109" s="370"/>
      <c r="AI109" s="370"/>
      <c r="AJ109" s="366"/>
      <c r="AK109" s="366"/>
      <c r="AL109" s="360"/>
      <c r="AM109" s="305" t="s">
        <v>823</v>
      </c>
      <c r="AN109" s="305"/>
      <c r="AO109" s="305"/>
      <c r="AP109" s="305"/>
      <c r="AQ109" s="305"/>
      <c r="AR109" s="305"/>
      <c r="AS109" s="305"/>
      <c r="AT109" s="305"/>
      <c r="AU109" s="305"/>
      <c r="AV109" s="305"/>
    </row>
    <row r="110" spans="1:48" s="306" customFormat="1" ht="58.5">
      <c r="A110" s="304" t="s">
        <v>351</v>
      </c>
      <c r="B110" s="304" t="s">
        <v>723</v>
      </c>
      <c r="C110" s="341" t="s">
        <v>797</v>
      </c>
      <c r="D110" s="284"/>
      <c r="E110" s="284"/>
      <c r="F110" s="284"/>
      <c r="G110" s="284"/>
      <c r="H110" s="284"/>
      <c r="I110" s="284"/>
      <c r="J110" s="366">
        <v>5.55</v>
      </c>
      <c r="K110" s="370">
        <f t="shared" si="17"/>
        <v>0.39361702127659576</v>
      </c>
      <c r="L110" s="371">
        <v>5.55</v>
      </c>
      <c r="M110" s="371">
        <v>3.5</v>
      </c>
      <c r="N110" s="366">
        <f t="shared" si="13"/>
        <v>5.55</v>
      </c>
      <c r="O110" s="370">
        <f t="shared" si="14"/>
        <v>0.49645390070921996</v>
      </c>
      <c r="P110" s="370">
        <f t="shared" si="15"/>
        <v>3.5</v>
      </c>
      <c r="Q110" s="366">
        <f t="shared" si="18"/>
        <v>5.55</v>
      </c>
      <c r="R110" s="370">
        <f t="shared" si="12"/>
        <v>0.49645390070921996</v>
      </c>
      <c r="S110" s="366">
        <f t="shared" si="19"/>
        <v>100</v>
      </c>
      <c r="T110" s="366">
        <v>3.38</v>
      </c>
      <c r="U110" s="370">
        <f t="shared" si="16"/>
        <v>96.571428571428569</v>
      </c>
      <c r="V110" s="370"/>
      <c r="W110" s="372"/>
      <c r="X110" s="370"/>
      <c r="Y110" s="370"/>
      <c r="Z110" s="370"/>
      <c r="AA110" s="370"/>
      <c r="AB110" s="370"/>
      <c r="AC110" s="370"/>
      <c r="AD110" s="370"/>
      <c r="AE110" s="370"/>
      <c r="AF110" s="370"/>
      <c r="AG110" s="370"/>
      <c r="AH110" s="370"/>
      <c r="AI110" s="370"/>
      <c r="AJ110" s="366"/>
      <c r="AK110" s="366"/>
      <c r="AL110" s="360"/>
      <c r="AM110" s="305" t="s">
        <v>823</v>
      </c>
      <c r="AN110" s="305"/>
      <c r="AO110" s="305"/>
      <c r="AP110" s="305"/>
      <c r="AQ110" s="305"/>
      <c r="AR110" s="305"/>
      <c r="AS110" s="305"/>
      <c r="AT110" s="305"/>
      <c r="AU110" s="305"/>
      <c r="AV110" s="305"/>
    </row>
    <row r="111" spans="1:48" s="306" customFormat="1" ht="58.5">
      <c r="A111" s="304" t="s">
        <v>353</v>
      </c>
      <c r="B111" s="304" t="s">
        <v>724</v>
      </c>
      <c r="C111" s="341" t="s">
        <v>797</v>
      </c>
      <c r="D111" s="284"/>
      <c r="E111" s="284"/>
      <c r="F111" s="284"/>
      <c r="G111" s="284"/>
      <c r="H111" s="284"/>
      <c r="I111" s="284"/>
      <c r="J111" s="366">
        <v>1</v>
      </c>
      <c r="K111" s="370">
        <f t="shared" si="17"/>
        <v>7.0921985815602856E-2</v>
      </c>
      <c r="L111" s="371">
        <v>1</v>
      </c>
      <c r="M111" s="371">
        <v>0</v>
      </c>
      <c r="N111" s="366">
        <f t="shared" si="13"/>
        <v>1</v>
      </c>
      <c r="O111" s="370">
        <f t="shared" si="14"/>
        <v>0</v>
      </c>
      <c r="P111" s="370">
        <f t="shared" si="15"/>
        <v>0</v>
      </c>
      <c r="Q111" s="366">
        <f t="shared" si="18"/>
        <v>1</v>
      </c>
      <c r="R111" s="370">
        <f t="shared" si="12"/>
        <v>0</v>
      </c>
      <c r="S111" s="366">
        <f t="shared" si="19"/>
        <v>0</v>
      </c>
      <c r="T111" s="366">
        <v>0</v>
      </c>
      <c r="U111" s="370">
        <f t="shared" si="16"/>
        <v>0</v>
      </c>
      <c r="V111" s="370"/>
      <c r="W111" s="372"/>
      <c r="X111" s="370"/>
      <c r="Y111" s="370"/>
      <c r="Z111" s="370"/>
      <c r="AA111" s="370"/>
      <c r="AB111" s="370"/>
      <c r="AC111" s="370"/>
      <c r="AD111" s="370"/>
      <c r="AE111" s="370"/>
      <c r="AF111" s="370"/>
      <c r="AG111" s="370"/>
      <c r="AH111" s="370"/>
      <c r="AI111" s="370"/>
      <c r="AJ111" s="366"/>
      <c r="AK111" s="366"/>
      <c r="AL111" s="360"/>
      <c r="AM111" s="305" t="s">
        <v>823</v>
      </c>
      <c r="AN111" s="305"/>
      <c r="AO111" s="305"/>
      <c r="AP111" s="305"/>
      <c r="AQ111" s="305"/>
      <c r="AR111" s="305"/>
      <c r="AS111" s="305"/>
      <c r="AT111" s="305"/>
      <c r="AU111" s="305"/>
      <c r="AV111" s="305"/>
    </row>
    <row r="112" spans="1:48" s="306" customFormat="1" ht="58.5">
      <c r="A112" s="304" t="s">
        <v>355</v>
      </c>
      <c r="B112" s="304" t="s">
        <v>725</v>
      </c>
      <c r="C112" s="341" t="s">
        <v>797</v>
      </c>
      <c r="D112" s="284"/>
      <c r="E112" s="284"/>
      <c r="F112" s="284"/>
      <c r="G112" s="284"/>
      <c r="H112" s="284"/>
      <c r="I112" s="284"/>
      <c r="J112" s="366">
        <v>1</v>
      </c>
      <c r="K112" s="370">
        <f t="shared" si="17"/>
        <v>7.0921985815602856E-2</v>
      </c>
      <c r="L112" s="371">
        <v>1</v>
      </c>
      <c r="M112" s="371">
        <v>0</v>
      </c>
      <c r="N112" s="366">
        <f t="shared" si="13"/>
        <v>1</v>
      </c>
      <c r="O112" s="370">
        <f t="shared" si="14"/>
        <v>0</v>
      </c>
      <c r="P112" s="370">
        <f t="shared" si="15"/>
        <v>0</v>
      </c>
      <c r="Q112" s="366">
        <f t="shared" si="18"/>
        <v>1</v>
      </c>
      <c r="R112" s="370">
        <f t="shared" si="12"/>
        <v>0</v>
      </c>
      <c r="S112" s="366">
        <f t="shared" si="19"/>
        <v>0</v>
      </c>
      <c r="T112" s="366">
        <v>0</v>
      </c>
      <c r="U112" s="370">
        <f t="shared" si="16"/>
        <v>0</v>
      </c>
      <c r="V112" s="370"/>
      <c r="W112" s="372"/>
      <c r="X112" s="370"/>
      <c r="Y112" s="370"/>
      <c r="Z112" s="370"/>
      <c r="AA112" s="370"/>
      <c r="AB112" s="370"/>
      <c r="AC112" s="370"/>
      <c r="AD112" s="370"/>
      <c r="AE112" s="370"/>
      <c r="AF112" s="370"/>
      <c r="AG112" s="370"/>
      <c r="AH112" s="370"/>
      <c r="AI112" s="370"/>
      <c r="AJ112" s="366"/>
      <c r="AK112" s="366"/>
      <c r="AL112" s="360"/>
      <c r="AM112" s="305" t="s">
        <v>823</v>
      </c>
      <c r="AN112" s="305"/>
      <c r="AO112" s="305"/>
      <c r="AP112" s="305"/>
      <c r="AQ112" s="305"/>
      <c r="AR112" s="305"/>
      <c r="AS112" s="305"/>
      <c r="AT112" s="305"/>
      <c r="AU112" s="305"/>
      <c r="AV112" s="305"/>
    </row>
    <row r="113" spans="1:48" s="306" customFormat="1" ht="58.5">
      <c r="A113" s="304" t="s">
        <v>357</v>
      </c>
      <c r="B113" s="304" t="s">
        <v>726</v>
      </c>
      <c r="C113" s="341" t="s">
        <v>797</v>
      </c>
      <c r="D113" s="284"/>
      <c r="E113" s="284"/>
      <c r="F113" s="284"/>
      <c r="G113" s="284"/>
      <c r="H113" s="284"/>
      <c r="I113" s="284"/>
      <c r="J113" s="366">
        <v>1</v>
      </c>
      <c r="K113" s="370">
        <f t="shared" si="17"/>
        <v>7.0921985815602856E-2</v>
      </c>
      <c r="L113" s="371">
        <v>1</v>
      </c>
      <c r="M113" s="371">
        <v>0</v>
      </c>
      <c r="N113" s="366">
        <f t="shared" si="13"/>
        <v>1</v>
      </c>
      <c r="O113" s="370">
        <f t="shared" si="14"/>
        <v>0</v>
      </c>
      <c r="P113" s="370">
        <f t="shared" si="15"/>
        <v>0</v>
      </c>
      <c r="Q113" s="366">
        <f t="shared" si="18"/>
        <v>1</v>
      </c>
      <c r="R113" s="370">
        <f t="shared" si="12"/>
        <v>0</v>
      </c>
      <c r="S113" s="366">
        <f t="shared" si="19"/>
        <v>0</v>
      </c>
      <c r="T113" s="366">
        <v>0</v>
      </c>
      <c r="U113" s="370">
        <f t="shared" si="16"/>
        <v>0</v>
      </c>
      <c r="V113" s="370"/>
      <c r="W113" s="372"/>
      <c r="X113" s="370"/>
      <c r="Y113" s="370"/>
      <c r="Z113" s="370"/>
      <c r="AA113" s="370"/>
      <c r="AB113" s="370"/>
      <c r="AC113" s="370"/>
      <c r="AD113" s="370"/>
      <c r="AE113" s="370"/>
      <c r="AF113" s="370"/>
      <c r="AG113" s="370"/>
      <c r="AH113" s="370"/>
      <c r="AI113" s="370"/>
      <c r="AJ113" s="366"/>
      <c r="AK113" s="366"/>
      <c r="AL113" s="360"/>
      <c r="AM113" s="305" t="s">
        <v>823</v>
      </c>
      <c r="AN113" s="305"/>
      <c r="AO113" s="305"/>
      <c r="AP113" s="305"/>
      <c r="AQ113" s="305"/>
      <c r="AR113" s="305"/>
      <c r="AS113" s="305"/>
      <c r="AT113" s="305"/>
      <c r="AU113" s="305"/>
      <c r="AV113" s="305"/>
    </row>
    <row r="114" spans="1:48" s="306" customFormat="1" ht="39">
      <c r="A114" s="304" t="s">
        <v>359</v>
      </c>
      <c r="B114" s="304" t="s">
        <v>727</v>
      </c>
      <c r="C114" s="341" t="s">
        <v>797</v>
      </c>
      <c r="D114" s="284"/>
      <c r="E114" s="284"/>
      <c r="F114" s="284"/>
      <c r="G114" s="284"/>
      <c r="H114" s="284"/>
      <c r="I114" s="284"/>
      <c r="J114" s="366">
        <v>5</v>
      </c>
      <c r="K114" s="370">
        <f t="shared" si="17"/>
        <v>0.35460992907801425</v>
      </c>
      <c r="L114" s="371">
        <v>5</v>
      </c>
      <c r="M114" s="371">
        <v>5</v>
      </c>
      <c r="N114" s="366">
        <f t="shared" si="13"/>
        <v>5</v>
      </c>
      <c r="O114" s="370">
        <f t="shared" si="14"/>
        <v>0.7092198581560285</v>
      </c>
      <c r="P114" s="370">
        <f t="shared" si="15"/>
        <v>5</v>
      </c>
      <c r="Q114" s="366">
        <f t="shared" si="18"/>
        <v>5</v>
      </c>
      <c r="R114" s="370">
        <f t="shared" si="12"/>
        <v>0.7092198581560285</v>
      </c>
      <c r="S114" s="366">
        <f t="shared" si="19"/>
        <v>100</v>
      </c>
      <c r="T114" s="366">
        <v>4.91</v>
      </c>
      <c r="U114" s="370">
        <f t="shared" si="16"/>
        <v>98.2</v>
      </c>
      <c r="V114" s="370"/>
      <c r="W114" s="372"/>
      <c r="X114" s="370"/>
      <c r="Y114" s="370"/>
      <c r="Z114" s="370"/>
      <c r="AA114" s="370"/>
      <c r="AB114" s="370"/>
      <c r="AC114" s="370"/>
      <c r="AD114" s="370"/>
      <c r="AE114" s="370"/>
      <c r="AF114" s="370"/>
      <c r="AG114" s="370"/>
      <c r="AH114" s="370"/>
      <c r="AI114" s="370"/>
      <c r="AJ114" s="366"/>
      <c r="AK114" s="366"/>
      <c r="AL114" s="360"/>
      <c r="AM114" s="305" t="s">
        <v>823</v>
      </c>
      <c r="AN114" s="305"/>
      <c r="AO114" s="305"/>
      <c r="AP114" s="305"/>
      <c r="AQ114" s="305"/>
      <c r="AR114" s="305"/>
      <c r="AS114" s="305"/>
      <c r="AT114" s="305"/>
      <c r="AU114" s="305"/>
      <c r="AV114" s="305"/>
    </row>
    <row r="115" spans="1:48" s="306" customFormat="1" ht="31.15" customHeight="1">
      <c r="A115" s="304" t="s">
        <v>361</v>
      </c>
      <c r="B115" s="304" t="s">
        <v>728</v>
      </c>
      <c r="C115" s="341" t="s">
        <v>797</v>
      </c>
      <c r="D115" s="284"/>
      <c r="E115" s="284"/>
      <c r="F115" s="284"/>
      <c r="G115" s="284"/>
      <c r="H115" s="284"/>
      <c r="I115" s="284"/>
      <c r="J115" s="366">
        <v>0.5</v>
      </c>
      <c r="K115" s="370">
        <f t="shared" si="17"/>
        <v>0.24822695035460998</v>
      </c>
      <c r="L115" s="371">
        <v>3.5</v>
      </c>
      <c r="M115" s="371">
        <v>0</v>
      </c>
      <c r="N115" s="366">
        <f t="shared" si="13"/>
        <v>0.5</v>
      </c>
      <c r="O115" s="370">
        <f t="shared" si="14"/>
        <v>0</v>
      </c>
      <c r="P115" s="370">
        <f t="shared" si="15"/>
        <v>0</v>
      </c>
      <c r="Q115" s="366">
        <f t="shared" si="18"/>
        <v>0.5</v>
      </c>
      <c r="R115" s="370">
        <f t="shared" si="12"/>
        <v>0</v>
      </c>
      <c r="S115" s="366">
        <f t="shared" si="19"/>
        <v>0</v>
      </c>
      <c r="T115" s="366">
        <v>0</v>
      </c>
      <c r="U115" s="370">
        <f t="shared" si="16"/>
        <v>0</v>
      </c>
      <c r="V115" s="370"/>
      <c r="W115" s="372"/>
      <c r="X115" s="370"/>
      <c r="Y115" s="370"/>
      <c r="Z115" s="370"/>
      <c r="AA115" s="370"/>
      <c r="AB115" s="370"/>
      <c r="AC115" s="370"/>
      <c r="AD115" s="370"/>
      <c r="AE115" s="370"/>
      <c r="AF115" s="370"/>
      <c r="AG115" s="370"/>
      <c r="AH115" s="370"/>
      <c r="AI115" s="370"/>
      <c r="AJ115" s="366"/>
      <c r="AK115" s="366"/>
      <c r="AL115" s="360"/>
      <c r="AM115" s="305" t="s">
        <v>823</v>
      </c>
      <c r="AN115" s="305"/>
      <c r="AO115" s="305"/>
      <c r="AP115" s="305"/>
      <c r="AQ115" s="305"/>
      <c r="AR115" s="305"/>
      <c r="AS115" s="305"/>
      <c r="AT115" s="305"/>
      <c r="AU115" s="305"/>
      <c r="AV115" s="305"/>
    </row>
    <row r="116" spans="1:48" s="306" customFormat="1" ht="39">
      <c r="A116" s="304" t="s">
        <v>363</v>
      </c>
      <c r="B116" s="304" t="s">
        <v>729</v>
      </c>
      <c r="C116" s="341" t="s">
        <v>797</v>
      </c>
      <c r="D116" s="284"/>
      <c r="E116" s="284"/>
      <c r="F116" s="284"/>
      <c r="G116" s="284"/>
      <c r="H116" s="284"/>
      <c r="I116" s="284"/>
      <c r="J116" s="366">
        <v>5</v>
      </c>
      <c r="K116" s="370">
        <f t="shared" si="17"/>
        <v>0.35460992907801425</v>
      </c>
      <c r="L116" s="371">
        <v>5</v>
      </c>
      <c r="M116" s="371">
        <v>5</v>
      </c>
      <c r="N116" s="366">
        <f t="shared" si="13"/>
        <v>5</v>
      </c>
      <c r="O116" s="370">
        <f t="shared" si="14"/>
        <v>0.7092198581560285</v>
      </c>
      <c r="P116" s="370">
        <f t="shared" si="15"/>
        <v>5</v>
      </c>
      <c r="Q116" s="366">
        <f t="shared" si="18"/>
        <v>5</v>
      </c>
      <c r="R116" s="370">
        <f t="shared" si="12"/>
        <v>0.7092198581560285</v>
      </c>
      <c r="S116" s="366">
        <f t="shared" si="19"/>
        <v>100</v>
      </c>
      <c r="T116" s="366">
        <v>4.96</v>
      </c>
      <c r="U116" s="370">
        <f t="shared" si="16"/>
        <v>99.2</v>
      </c>
      <c r="V116" s="370"/>
      <c r="W116" s="372"/>
      <c r="X116" s="370"/>
      <c r="Y116" s="370"/>
      <c r="Z116" s="370"/>
      <c r="AA116" s="370"/>
      <c r="AB116" s="370"/>
      <c r="AC116" s="370"/>
      <c r="AD116" s="370"/>
      <c r="AE116" s="370"/>
      <c r="AF116" s="370"/>
      <c r="AG116" s="370"/>
      <c r="AH116" s="370"/>
      <c r="AI116" s="370"/>
      <c r="AJ116" s="366"/>
      <c r="AK116" s="366"/>
      <c r="AL116" s="360"/>
      <c r="AM116" s="305" t="s">
        <v>823</v>
      </c>
      <c r="AN116" s="305"/>
      <c r="AO116" s="305"/>
      <c r="AP116" s="305"/>
      <c r="AQ116" s="305"/>
      <c r="AR116" s="305"/>
      <c r="AS116" s="305"/>
      <c r="AT116" s="305"/>
      <c r="AU116" s="305"/>
      <c r="AV116" s="305"/>
    </row>
    <row r="117" spans="1:48" s="306" customFormat="1" ht="58.5">
      <c r="A117" s="304" t="s">
        <v>365</v>
      </c>
      <c r="B117" s="304" t="s">
        <v>730</v>
      </c>
      <c r="C117" s="341" t="s">
        <v>797</v>
      </c>
      <c r="D117" s="284"/>
      <c r="E117" s="284"/>
      <c r="F117" s="284"/>
      <c r="G117" s="284"/>
      <c r="H117" s="284"/>
      <c r="I117" s="284"/>
      <c r="J117" s="366">
        <v>1</v>
      </c>
      <c r="K117" s="370">
        <f t="shared" si="17"/>
        <v>7.0921985815602856E-2</v>
      </c>
      <c r="L117" s="371">
        <v>1</v>
      </c>
      <c r="M117" s="371">
        <v>0</v>
      </c>
      <c r="N117" s="366">
        <f t="shared" si="13"/>
        <v>1</v>
      </c>
      <c r="O117" s="370">
        <f t="shared" si="14"/>
        <v>0</v>
      </c>
      <c r="P117" s="370">
        <f t="shared" si="15"/>
        <v>0</v>
      </c>
      <c r="Q117" s="366">
        <f t="shared" si="18"/>
        <v>1</v>
      </c>
      <c r="R117" s="370">
        <f t="shared" si="12"/>
        <v>0</v>
      </c>
      <c r="S117" s="366">
        <f t="shared" si="19"/>
        <v>0</v>
      </c>
      <c r="T117" s="366">
        <v>0</v>
      </c>
      <c r="U117" s="370">
        <f t="shared" si="16"/>
        <v>0</v>
      </c>
      <c r="V117" s="370"/>
      <c r="W117" s="372"/>
      <c r="X117" s="370"/>
      <c r="Y117" s="370"/>
      <c r="Z117" s="370"/>
      <c r="AA117" s="370"/>
      <c r="AB117" s="370"/>
      <c r="AC117" s="370"/>
      <c r="AD117" s="370"/>
      <c r="AE117" s="370"/>
      <c r="AF117" s="370"/>
      <c r="AG117" s="370"/>
      <c r="AH117" s="370"/>
      <c r="AI117" s="370"/>
      <c r="AJ117" s="366"/>
      <c r="AK117" s="366"/>
      <c r="AL117" s="360"/>
      <c r="AM117" s="305" t="s">
        <v>823</v>
      </c>
      <c r="AN117" s="305"/>
      <c r="AO117" s="305"/>
      <c r="AP117" s="305"/>
      <c r="AQ117" s="305"/>
      <c r="AR117" s="305"/>
      <c r="AS117" s="305"/>
      <c r="AT117" s="305"/>
      <c r="AU117" s="305"/>
      <c r="AV117" s="305"/>
    </row>
    <row r="118" spans="1:48" s="306" customFormat="1" ht="39">
      <c r="A118" s="304" t="s">
        <v>367</v>
      </c>
      <c r="B118" s="304" t="s">
        <v>731</v>
      </c>
      <c r="C118" s="341" t="s">
        <v>797</v>
      </c>
      <c r="D118" s="284"/>
      <c r="E118" s="284"/>
      <c r="F118" s="284"/>
      <c r="G118" s="284"/>
      <c r="H118" s="284"/>
      <c r="I118" s="284"/>
      <c r="J118" s="366">
        <v>0.5</v>
      </c>
      <c r="K118" s="370">
        <f t="shared" si="17"/>
        <v>0.24822695035460998</v>
      </c>
      <c r="L118" s="371">
        <v>3.5</v>
      </c>
      <c r="M118" s="371">
        <v>3.5</v>
      </c>
      <c r="N118" s="366">
        <f t="shared" si="13"/>
        <v>0.5</v>
      </c>
      <c r="O118" s="370">
        <f t="shared" si="14"/>
        <v>0.49645390070921996</v>
      </c>
      <c r="P118" s="370">
        <f t="shared" si="15"/>
        <v>3.5</v>
      </c>
      <c r="Q118" s="366">
        <f t="shared" si="18"/>
        <v>0.5</v>
      </c>
      <c r="R118" s="370">
        <f t="shared" si="12"/>
        <v>0.49645390070921996</v>
      </c>
      <c r="S118" s="366">
        <f t="shared" si="19"/>
        <v>100</v>
      </c>
      <c r="T118" s="366">
        <v>3.5</v>
      </c>
      <c r="U118" s="370">
        <f t="shared" si="16"/>
        <v>100</v>
      </c>
      <c r="V118" s="370"/>
      <c r="W118" s="372"/>
      <c r="X118" s="370"/>
      <c r="Y118" s="370"/>
      <c r="Z118" s="370"/>
      <c r="AA118" s="370"/>
      <c r="AB118" s="370"/>
      <c r="AC118" s="370"/>
      <c r="AD118" s="370"/>
      <c r="AE118" s="370"/>
      <c r="AF118" s="370"/>
      <c r="AG118" s="370"/>
      <c r="AH118" s="370"/>
      <c r="AI118" s="370"/>
      <c r="AJ118" s="366"/>
      <c r="AK118" s="366"/>
      <c r="AL118" s="360"/>
      <c r="AM118" s="305" t="s">
        <v>823</v>
      </c>
      <c r="AN118" s="305"/>
      <c r="AO118" s="305"/>
      <c r="AP118" s="305"/>
      <c r="AQ118" s="305"/>
      <c r="AR118" s="305"/>
      <c r="AS118" s="305"/>
      <c r="AT118" s="305"/>
      <c r="AU118" s="305"/>
      <c r="AV118" s="305"/>
    </row>
    <row r="119" spans="1:48" s="306" customFormat="1" ht="58.5">
      <c r="A119" s="304" t="s">
        <v>369</v>
      </c>
      <c r="B119" s="304" t="s">
        <v>732</v>
      </c>
      <c r="C119" s="341" t="s">
        <v>797</v>
      </c>
      <c r="D119" s="284"/>
      <c r="E119" s="284"/>
      <c r="F119" s="284"/>
      <c r="G119" s="284"/>
      <c r="H119" s="284"/>
      <c r="I119" s="284"/>
      <c r="J119" s="366">
        <v>1</v>
      </c>
      <c r="K119" s="370">
        <f t="shared" si="17"/>
        <v>7.0921985815602856E-2</v>
      </c>
      <c r="L119" s="371">
        <v>1</v>
      </c>
      <c r="M119" s="371">
        <v>0</v>
      </c>
      <c r="N119" s="366">
        <f t="shared" si="13"/>
        <v>1</v>
      </c>
      <c r="O119" s="370">
        <f t="shared" si="14"/>
        <v>0</v>
      </c>
      <c r="P119" s="370">
        <f t="shared" si="15"/>
        <v>0</v>
      </c>
      <c r="Q119" s="366">
        <f t="shared" si="18"/>
        <v>1</v>
      </c>
      <c r="R119" s="370">
        <f t="shared" si="12"/>
        <v>0</v>
      </c>
      <c r="S119" s="366">
        <f t="shared" si="19"/>
        <v>0</v>
      </c>
      <c r="T119" s="366">
        <v>0</v>
      </c>
      <c r="U119" s="370">
        <f t="shared" si="16"/>
        <v>0</v>
      </c>
      <c r="V119" s="370"/>
      <c r="W119" s="372"/>
      <c r="X119" s="370"/>
      <c r="Y119" s="370"/>
      <c r="Z119" s="370"/>
      <c r="AA119" s="370"/>
      <c r="AB119" s="370"/>
      <c r="AC119" s="370"/>
      <c r="AD119" s="370"/>
      <c r="AE119" s="370"/>
      <c r="AF119" s="370"/>
      <c r="AG119" s="370"/>
      <c r="AH119" s="370"/>
      <c r="AI119" s="370"/>
      <c r="AJ119" s="366"/>
      <c r="AK119" s="366"/>
      <c r="AL119" s="360"/>
      <c r="AM119" s="305" t="s">
        <v>823</v>
      </c>
      <c r="AN119" s="305"/>
      <c r="AO119" s="305"/>
      <c r="AP119" s="305"/>
      <c r="AQ119" s="305"/>
      <c r="AR119" s="305"/>
      <c r="AS119" s="305"/>
      <c r="AT119" s="305"/>
      <c r="AU119" s="305"/>
      <c r="AV119" s="305"/>
    </row>
    <row r="120" spans="1:48" s="306" customFormat="1" ht="58.5">
      <c r="A120" s="304" t="s">
        <v>371</v>
      </c>
      <c r="B120" s="304" t="s">
        <v>733</v>
      </c>
      <c r="C120" s="341" t="s">
        <v>797</v>
      </c>
      <c r="D120" s="284"/>
      <c r="E120" s="284"/>
      <c r="F120" s="284"/>
      <c r="G120" s="284"/>
      <c r="H120" s="284"/>
      <c r="I120" s="284"/>
      <c r="J120" s="366">
        <v>2</v>
      </c>
      <c r="K120" s="370">
        <f t="shared" si="17"/>
        <v>0.14184397163120571</v>
      </c>
      <c r="L120" s="371">
        <v>2</v>
      </c>
      <c r="M120" s="371">
        <v>0</v>
      </c>
      <c r="N120" s="366">
        <f t="shared" si="13"/>
        <v>2</v>
      </c>
      <c r="O120" s="370">
        <f t="shared" si="14"/>
        <v>0</v>
      </c>
      <c r="P120" s="370">
        <f t="shared" si="15"/>
        <v>0</v>
      </c>
      <c r="Q120" s="366">
        <f t="shared" si="18"/>
        <v>2</v>
      </c>
      <c r="R120" s="370">
        <f t="shared" si="12"/>
        <v>0</v>
      </c>
      <c r="S120" s="366">
        <f t="shared" si="19"/>
        <v>0</v>
      </c>
      <c r="T120" s="366">
        <v>0</v>
      </c>
      <c r="U120" s="370">
        <f t="shared" si="16"/>
        <v>0</v>
      </c>
      <c r="V120" s="370"/>
      <c r="W120" s="372"/>
      <c r="X120" s="370"/>
      <c r="Y120" s="370"/>
      <c r="Z120" s="370"/>
      <c r="AA120" s="370"/>
      <c r="AB120" s="370"/>
      <c r="AC120" s="370"/>
      <c r="AD120" s="370"/>
      <c r="AE120" s="370"/>
      <c r="AF120" s="370"/>
      <c r="AG120" s="370"/>
      <c r="AH120" s="370"/>
      <c r="AI120" s="370"/>
      <c r="AJ120" s="366"/>
      <c r="AK120" s="366"/>
      <c r="AL120" s="360"/>
      <c r="AM120" s="305" t="s">
        <v>823</v>
      </c>
      <c r="AN120" s="305"/>
      <c r="AO120" s="305"/>
      <c r="AP120" s="305"/>
      <c r="AQ120" s="305"/>
      <c r="AR120" s="305"/>
      <c r="AS120" s="305"/>
      <c r="AT120" s="305"/>
      <c r="AU120" s="305"/>
      <c r="AV120" s="305"/>
    </row>
    <row r="121" spans="1:48" s="306" customFormat="1" ht="58.5">
      <c r="A121" s="304" t="s">
        <v>373</v>
      </c>
      <c r="B121" s="304" t="s">
        <v>734</v>
      </c>
      <c r="C121" s="341" t="s">
        <v>797</v>
      </c>
      <c r="D121" s="284"/>
      <c r="E121" s="284"/>
      <c r="F121" s="284"/>
      <c r="G121" s="284"/>
      <c r="H121" s="284"/>
      <c r="I121" s="284"/>
      <c r="J121" s="366">
        <v>0.5</v>
      </c>
      <c r="K121" s="370">
        <f t="shared" si="17"/>
        <v>0.24822695035460998</v>
      </c>
      <c r="L121" s="371">
        <v>3.5</v>
      </c>
      <c r="M121" s="371">
        <v>0</v>
      </c>
      <c r="N121" s="366">
        <f t="shared" si="13"/>
        <v>0.5</v>
      </c>
      <c r="O121" s="370">
        <f t="shared" si="14"/>
        <v>0</v>
      </c>
      <c r="P121" s="370">
        <f t="shared" si="15"/>
        <v>0</v>
      </c>
      <c r="Q121" s="366">
        <f t="shared" si="18"/>
        <v>0.5</v>
      </c>
      <c r="R121" s="370">
        <f t="shared" si="12"/>
        <v>0</v>
      </c>
      <c r="S121" s="366">
        <f t="shared" si="19"/>
        <v>0</v>
      </c>
      <c r="T121" s="366">
        <v>0</v>
      </c>
      <c r="U121" s="370">
        <f t="shared" si="16"/>
        <v>0</v>
      </c>
      <c r="V121" s="370"/>
      <c r="W121" s="372"/>
      <c r="X121" s="370"/>
      <c r="Y121" s="370"/>
      <c r="Z121" s="370"/>
      <c r="AA121" s="370"/>
      <c r="AB121" s="370"/>
      <c r="AC121" s="370"/>
      <c r="AD121" s="370"/>
      <c r="AE121" s="370"/>
      <c r="AF121" s="370"/>
      <c r="AG121" s="370"/>
      <c r="AH121" s="370"/>
      <c r="AI121" s="370"/>
      <c r="AJ121" s="366"/>
      <c r="AK121" s="366"/>
      <c r="AL121" s="360"/>
      <c r="AM121" s="305" t="s">
        <v>823</v>
      </c>
      <c r="AN121" s="305"/>
      <c r="AO121" s="305"/>
      <c r="AP121" s="305"/>
      <c r="AQ121" s="305"/>
      <c r="AR121" s="305"/>
      <c r="AS121" s="305"/>
      <c r="AT121" s="305"/>
      <c r="AU121" s="305"/>
      <c r="AV121" s="305"/>
    </row>
    <row r="122" spans="1:48" s="306" customFormat="1" ht="39">
      <c r="A122" s="304" t="s">
        <v>377</v>
      </c>
      <c r="B122" s="304" t="s">
        <v>735</v>
      </c>
      <c r="C122" s="341" t="s">
        <v>797</v>
      </c>
      <c r="D122" s="284"/>
      <c r="E122" s="284"/>
      <c r="F122" s="284"/>
      <c r="G122" s="284"/>
      <c r="H122" s="284"/>
      <c r="I122" s="284"/>
      <c r="J122" s="366">
        <v>1</v>
      </c>
      <c r="K122" s="370">
        <f t="shared" si="17"/>
        <v>7.0921985815602856E-2</v>
      </c>
      <c r="L122" s="371">
        <v>1</v>
      </c>
      <c r="M122" s="371">
        <v>0</v>
      </c>
      <c r="N122" s="366">
        <f t="shared" si="13"/>
        <v>1</v>
      </c>
      <c r="O122" s="370">
        <f t="shared" si="14"/>
        <v>0</v>
      </c>
      <c r="P122" s="370">
        <f t="shared" si="15"/>
        <v>0</v>
      </c>
      <c r="Q122" s="366">
        <f t="shared" si="18"/>
        <v>1</v>
      </c>
      <c r="R122" s="370">
        <f t="shared" si="12"/>
        <v>0</v>
      </c>
      <c r="S122" s="366">
        <f t="shared" si="19"/>
        <v>0</v>
      </c>
      <c r="T122" s="366">
        <v>0</v>
      </c>
      <c r="U122" s="370">
        <f t="shared" si="16"/>
        <v>0</v>
      </c>
      <c r="V122" s="370"/>
      <c r="W122" s="372"/>
      <c r="X122" s="370"/>
      <c r="Y122" s="370"/>
      <c r="Z122" s="370"/>
      <c r="AA122" s="370"/>
      <c r="AB122" s="370"/>
      <c r="AC122" s="370"/>
      <c r="AD122" s="370"/>
      <c r="AE122" s="370"/>
      <c r="AF122" s="370"/>
      <c r="AG122" s="370"/>
      <c r="AH122" s="370"/>
      <c r="AI122" s="370"/>
      <c r="AJ122" s="366"/>
      <c r="AK122" s="366"/>
      <c r="AL122" s="360"/>
      <c r="AM122" s="305" t="s">
        <v>823</v>
      </c>
      <c r="AN122" s="305"/>
      <c r="AO122" s="305"/>
      <c r="AP122" s="305"/>
      <c r="AQ122" s="305"/>
      <c r="AR122" s="305"/>
      <c r="AS122" s="305"/>
      <c r="AT122" s="305"/>
      <c r="AU122" s="305"/>
      <c r="AV122" s="305"/>
    </row>
    <row r="123" spans="1:48" s="306" customFormat="1" ht="39">
      <c r="A123" s="304" t="s">
        <v>379</v>
      </c>
      <c r="B123" s="304" t="s">
        <v>736</v>
      </c>
      <c r="C123" s="341" t="s">
        <v>797</v>
      </c>
      <c r="D123" s="284"/>
      <c r="E123" s="284"/>
      <c r="F123" s="284"/>
      <c r="G123" s="284"/>
      <c r="H123" s="284"/>
      <c r="I123" s="284"/>
      <c r="J123" s="366">
        <v>1</v>
      </c>
      <c r="K123" s="370">
        <f t="shared" si="17"/>
        <v>7.0921985815602856E-2</v>
      </c>
      <c r="L123" s="371">
        <v>1</v>
      </c>
      <c r="M123" s="371">
        <v>0</v>
      </c>
      <c r="N123" s="366">
        <f t="shared" si="13"/>
        <v>1</v>
      </c>
      <c r="O123" s="370">
        <f t="shared" si="14"/>
        <v>0</v>
      </c>
      <c r="P123" s="370">
        <f t="shared" si="15"/>
        <v>0</v>
      </c>
      <c r="Q123" s="366">
        <f t="shared" si="18"/>
        <v>1</v>
      </c>
      <c r="R123" s="370">
        <f t="shared" si="12"/>
        <v>0</v>
      </c>
      <c r="S123" s="366">
        <f t="shared" si="19"/>
        <v>0</v>
      </c>
      <c r="T123" s="366">
        <v>0</v>
      </c>
      <c r="U123" s="370">
        <f t="shared" si="16"/>
        <v>0</v>
      </c>
      <c r="V123" s="370"/>
      <c r="W123" s="372"/>
      <c r="X123" s="370"/>
      <c r="Y123" s="370"/>
      <c r="Z123" s="370"/>
      <c r="AA123" s="370"/>
      <c r="AB123" s="370"/>
      <c r="AC123" s="370"/>
      <c r="AD123" s="370"/>
      <c r="AE123" s="370"/>
      <c r="AF123" s="370"/>
      <c r="AG123" s="370"/>
      <c r="AH123" s="370"/>
      <c r="AI123" s="370"/>
      <c r="AJ123" s="366"/>
      <c r="AK123" s="366"/>
      <c r="AL123" s="360"/>
      <c r="AM123" s="305" t="s">
        <v>823</v>
      </c>
      <c r="AN123" s="305"/>
      <c r="AO123" s="305"/>
      <c r="AP123" s="305"/>
      <c r="AQ123" s="305"/>
      <c r="AR123" s="305"/>
      <c r="AS123" s="305"/>
      <c r="AT123" s="305"/>
      <c r="AU123" s="305"/>
      <c r="AV123" s="305"/>
    </row>
    <row r="124" spans="1:48" s="306" customFormat="1" ht="39">
      <c r="A124" s="304" t="s">
        <v>381</v>
      </c>
      <c r="B124" s="304" t="s">
        <v>737</v>
      </c>
      <c r="C124" s="341" t="s">
        <v>797</v>
      </c>
      <c r="D124" s="284"/>
      <c r="E124" s="284"/>
      <c r="F124" s="284"/>
      <c r="G124" s="284"/>
      <c r="H124" s="284"/>
      <c r="I124" s="284"/>
      <c r="J124" s="366">
        <v>5</v>
      </c>
      <c r="K124" s="370">
        <f t="shared" si="17"/>
        <v>0.17730496453900713</v>
      </c>
      <c r="L124" s="371">
        <v>2.5</v>
      </c>
      <c r="M124" s="371">
        <v>0</v>
      </c>
      <c r="N124" s="366">
        <f t="shared" si="13"/>
        <v>5</v>
      </c>
      <c r="O124" s="370">
        <f t="shared" si="14"/>
        <v>0</v>
      </c>
      <c r="P124" s="370">
        <f t="shared" si="15"/>
        <v>0</v>
      </c>
      <c r="Q124" s="366">
        <f t="shared" si="18"/>
        <v>5</v>
      </c>
      <c r="R124" s="370">
        <f t="shared" si="12"/>
        <v>0</v>
      </c>
      <c r="S124" s="366">
        <f t="shared" si="19"/>
        <v>0</v>
      </c>
      <c r="T124" s="366">
        <v>0</v>
      </c>
      <c r="U124" s="370">
        <f t="shared" si="16"/>
        <v>0</v>
      </c>
      <c r="V124" s="370"/>
      <c r="W124" s="372"/>
      <c r="X124" s="370"/>
      <c r="Y124" s="370"/>
      <c r="Z124" s="370"/>
      <c r="AA124" s="370"/>
      <c r="AB124" s="370"/>
      <c r="AC124" s="370"/>
      <c r="AD124" s="370"/>
      <c r="AE124" s="370"/>
      <c r="AF124" s="370"/>
      <c r="AG124" s="370"/>
      <c r="AH124" s="370"/>
      <c r="AI124" s="370"/>
      <c r="AJ124" s="366"/>
      <c r="AK124" s="366"/>
      <c r="AL124" s="360"/>
      <c r="AM124" s="305" t="s">
        <v>823</v>
      </c>
      <c r="AN124" s="305"/>
      <c r="AO124" s="305"/>
      <c r="AP124" s="305"/>
      <c r="AQ124" s="305"/>
      <c r="AR124" s="305"/>
      <c r="AS124" s="305"/>
      <c r="AT124" s="305"/>
      <c r="AU124" s="305"/>
      <c r="AV124" s="305"/>
    </row>
    <row r="125" spans="1:48" s="306" customFormat="1" ht="39">
      <c r="A125" s="304" t="s">
        <v>383</v>
      </c>
      <c r="B125" s="304" t="s">
        <v>738</v>
      </c>
      <c r="C125" s="341" t="s">
        <v>797</v>
      </c>
      <c r="D125" s="284"/>
      <c r="E125" s="284"/>
      <c r="F125" s="284"/>
      <c r="G125" s="284"/>
      <c r="H125" s="284"/>
      <c r="I125" s="284"/>
      <c r="J125" s="366">
        <v>1</v>
      </c>
      <c r="K125" s="370">
        <f t="shared" si="17"/>
        <v>0</v>
      </c>
      <c r="L125" s="371">
        <v>0</v>
      </c>
      <c r="M125" s="371">
        <v>0</v>
      </c>
      <c r="N125" s="366">
        <f t="shared" si="13"/>
        <v>1</v>
      </c>
      <c r="O125" s="370">
        <f t="shared" si="14"/>
        <v>0</v>
      </c>
      <c r="P125" s="370">
        <f t="shared" si="15"/>
        <v>0</v>
      </c>
      <c r="Q125" s="366">
        <f t="shared" si="18"/>
        <v>1</v>
      </c>
      <c r="R125" s="370">
        <f t="shared" si="12"/>
        <v>0</v>
      </c>
      <c r="S125" s="366">
        <v>0</v>
      </c>
      <c r="T125" s="366">
        <v>0</v>
      </c>
      <c r="U125" s="370">
        <f t="shared" si="16"/>
        <v>0</v>
      </c>
      <c r="V125" s="370"/>
      <c r="W125" s="372"/>
      <c r="X125" s="370"/>
      <c r="Y125" s="370"/>
      <c r="Z125" s="370"/>
      <c r="AA125" s="370"/>
      <c r="AB125" s="370"/>
      <c r="AC125" s="370"/>
      <c r="AD125" s="370"/>
      <c r="AE125" s="370"/>
      <c r="AF125" s="370"/>
      <c r="AG125" s="370"/>
      <c r="AH125" s="370"/>
      <c r="AI125" s="370"/>
      <c r="AJ125" s="366"/>
      <c r="AK125" s="366"/>
      <c r="AL125" s="360"/>
      <c r="AM125" s="305" t="s">
        <v>823</v>
      </c>
      <c r="AN125" s="305"/>
      <c r="AO125" s="305"/>
      <c r="AP125" s="305"/>
      <c r="AQ125" s="305"/>
      <c r="AR125" s="305"/>
      <c r="AS125" s="305"/>
      <c r="AT125" s="305"/>
      <c r="AU125" s="305"/>
      <c r="AV125" s="305"/>
    </row>
    <row r="126" spans="1:48" s="306" customFormat="1" ht="58.5">
      <c r="A126" s="304" t="s">
        <v>385</v>
      </c>
      <c r="B126" s="304" t="s">
        <v>739</v>
      </c>
      <c r="C126" s="341" t="s">
        <v>797</v>
      </c>
      <c r="D126" s="284"/>
      <c r="E126" s="284"/>
      <c r="F126" s="284"/>
      <c r="G126" s="284"/>
      <c r="H126" s="284"/>
      <c r="I126" s="284"/>
      <c r="J126" s="366">
        <v>1</v>
      </c>
      <c r="K126" s="370">
        <f t="shared" si="17"/>
        <v>0</v>
      </c>
      <c r="L126" s="371">
        <v>0</v>
      </c>
      <c r="M126" s="371">
        <v>0</v>
      </c>
      <c r="N126" s="366">
        <f t="shared" si="13"/>
        <v>1</v>
      </c>
      <c r="O126" s="370">
        <f t="shared" si="14"/>
        <v>0</v>
      </c>
      <c r="P126" s="370">
        <f t="shared" si="15"/>
        <v>0</v>
      </c>
      <c r="Q126" s="366">
        <f t="shared" si="18"/>
        <v>1</v>
      </c>
      <c r="R126" s="370">
        <f t="shared" si="12"/>
        <v>0</v>
      </c>
      <c r="S126" s="366">
        <v>0</v>
      </c>
      <c r="T126" s="366">
        <v>0</v>
      </c>
      <c r="U126" s="370">
        <f t="shared" si="16"/>
        <v>0</v>
      </c>
      <c r="V126" s="370"/>
      <c r="W126" s="372"/>
      <c r="X126" s="370"/>
      <c r="Y126" s="370"/>
      <c r="Z126" s="370"/>
      <c r="AA126" s="370"/>
      <c r="AB126" s="370"/>
      <c r="AC126" s="370"/>
      <c r="AD126" s="370"/>
      <c r="AE126" s="370"/>
      <c r="AF126" s="370"/>
      <c r="AG126" s="370"/>
      <c r="AH126" s="370"/>
      <c r="AI126" s="370"/>
      <c r="AJ126" s="366"/>
      <c r="AK126" s="366"/>
      <c r="AL126" s="360"/>
      <c r="AM126" s="305" t="s">
        <v>823</v>
      </c>
      <c r="AN126" s="305"/>
      <c r="AO126" s="305"/>
      <c r="AP126" s="305"/>
      <c r="AQ126" s="305"/>
      <c r="AR126" s="305"/>
      <c r="AS126" s="305"/>
      <c r="AT126" s="305"/>
      <c r="AU126" s="305"/>
      <c r="AV126" s="305"/>
    </row>
    <row r="127" spans="1:48" s="306" customFormat="1" ht="58.5">
      <c r="A127" s="304" t="s">
        <v>387</v>
      </c>
      <c r="B127" s="304" t="s">
        <v>740</v>
      </c>
      <c r="C127" s="341" t="s">
        <v>797</v>
      </c>
      <c r="D127" s="284"/>
      <c r="E127" s="284"/>
      <c r="F127" s="284"/>
      <c r="G127" s="284"/>
      <c r="H127" s="284"/>
      <c r="I127" s="284"/>
      <c r="J127" s="366">
        <v>5</v>
      </c>
      <c r="K127" s="370">
        <f t="shared" si="17"/>
        <v>0.35460992907801425</v>
      </c>
      <c r="L127" s="371">
        <v>5</v>
      </c>
      <c r="M127" s="371">
        <v>5</v>
      </c>
      <c r="N127" s="366">
        <f t="shared" si="13"/>
        <v>5</v>
      </c>
      <c r="O127" s="370">
        <f t="shared" si="14"/>
        <v>0.7092198581560285</v>
      </c>
      <c r="P127" s="370">
        <f t="shared" si="15"/>
        <v>5</v>
      </c>
      <c r="Q127" s="366">
        <f t="shared" si="18"/>
        <v>5</v>
      </c>
      <c r="R127" s="370">
        <f t="shared" si="12"/>
        <v>0.7092198581560285</v>
      </c>
      <c r="S127" s="366">
        <f t="shared" ref="S127:S134" si="20">ROUND(IF(O127=0,R127/K127*100,R127/O127*100),2)</f>
        <v>100</v>
      </c>
      <c r="T127" s="366">
        <v>4.7699999999999996</v>
      </c>
      <c r="U127" s="370">
        <f t="shared" si="16"/>
        <v>95.399999999999991</v>
      </c>
      <c r="V127" s="370"/>
      <c r="W127" s="372"/>
      <c r="X127" s="370"/>
      <c r="Y127" s="370"/>
      <c r="Z127" s="370"/>
      <c r="AA127" s="370"/>
      <c r="AB127" s="370"/>
      <c r="AC127" s="370"/>
      <c r="AD127" s="370"/>
      <c r="AE127" s="370"/>
      <c r="AF127" s="370"/>
      <c r="AG127" s="370"/>
      <c r="AH127" s="370"/>
      <c r="AI127" s="370"/>
      <c r="AJ127" s="366"/>
      <c r="AK127" s="366"/>
      <c r="AL127" s="360"/>
      <c r="AM127" s="305" t="s">
        <v>823</v>
      </c>
      <c r="AN127" s="305"/>
      <c r="AO127" s="305"/>
      <c r="AP127" s="305"/>
      <c r="AQ127" s="305"/>
      <c r="AR127" s="305"/>
      <c r="AS127" s="305"/>
      <c r="AT127" s="305"/>
      <c r="AU127" s="305"/>
      <c r="AV127" s="305"/>
    </row>
    <row r="128" spans="1:48" s="306" customFormat="1" ht="39">
      <c r="A128" s="304" t="s">
        <v>537</v>
      </c>
      <c r="B128" s="304" t="s">
        <v>741</v>
      </c>
      <c r="C128" s="340" t="s">
        <v>794</v>
      </c>
      <c r="D128" s="284"/>
      <c r="E128" s="284"/>
      <c r="F128" s="284"/>
      <c r="G128" s="284"/>
      <c r="H128" s="284"/>
      <c r="I128" s="284"/>
      <c r="J128" s="366">
        <v>4</v>
      </c>
      <c r="K128" s="370">
        <f t="shared" si="17"/>
        <v>4.9645390070921991</v>
      </c>
      <c r="L128" s="371">
        <v>70</v>
      </c>
      <c r="M128" s="371">
        <v>0</v>
      </c>
      <c r="N128" s="366">
        <f t="shared" si="13"/>
        <v>4</v>
      </c>
      <c r="O128" s="370">
        <f t="shared" si="14"/>
        <v>0</v>
      </c>
      <c r="P128" s="370">
        <f t="shared" si="15"/>
        <v>0</v>
      </c>
      <c r="Q128" s="366">
        <f t="shared" si="18"/>
        <v>4</v>
      </c>
      <c r="R128" s="370">
        <f t="shared" si="12"/>
        <v>0</v>
      </c>
      <c r="S128" s="366">
        <f t="shared" si="20"/>
        <v>0</v>
      </c>
      <c r="T128" s="366">
        <v>0</v>
      </c>
      <c r="U128" s="370">
        <f t="shared" si="16"/>
        <v>0</v>
      </c>
      <c r="V128" s="370"/>
      <c r="W128" s="372"/>
      <c r="X128" s="370"/>
      <c r="Y128" s="370"/>
      <c r="Z128" s="370"/>
      <c r="AA128" s="370"/>
      <c r="AB128" s="370"/>
      <c r="AC128" s="370"/>
      <c r="AD128" s="370"/>
      <c r="AE128" s="370"/>
      <c r="AF128" s="370"/>
      <c r="AG128" s="370"/>
      <c r="AH128" s="370"/>
      <c r="AI128" s="370"/>
      <c r="AJ128" s="366"/>
      <c r="AK128" s="366"/>
      <c r="AL128" s="360"/>
      <c r="AM128" s="305" t="s">
        <v>823</v>
      </c>
      <c r="AN128" s="305"/>
      <c r="AO128" s="305"/>
      <c r="AP128" s="305"/>
      <c r="AQ128" s="305"/>
      <c r="AR128" s="305"/>
      <c r="AS128" s="305"/>
      <c r="AT128" s="305"/>
      <c r="AU128" s="305"/>
      <c r="AV128" s="305"/>
    </row>
    <row r="129" spans="1:48" s="306" customFormat="1" ht="58.5">
      <c r="A129" s="304" t="s">
        <v>389</v>
      </c>
      <c r="B129" s="304" t="s">
        <v>742</v>
      </c>
      <c r="C129" s="341" t="s">
        <v>797</v>
      </c>
      <c r="D129" s="284"/>
      <c r="E129" s="284"/>
      <c r="F129" s="284"/>
      <c r="G129" s="284"/>
      <c r="H129" s="284"/>
      <c r="I129" s="284"/>
      <c r="J129" s="366">
        <v>6</v>
      </c>
      <c r="K129" s="370">
        <f t="shared" si="17"/>
        <v>1.7021276595744685</v>
      </c>
      <c r="L129" s="371">
        <v>24</v>
      </c>
      <c r="M129" s="371">
        <v>20</v>
      </c>
      <c r="N129" s="366">
        <f t="shared" si="13"/>
        <v>6</v>
      </c>
      <c r="O129" s="370">
        <f t="shared" si="14"/>
        <v>2.836879432624114</v>
      </c>
      <c r="P129" s="370">
        <f t="shared" si="15"/>
        <v>20</v>
      </c>
      <c r="Q129" s="366">
        <f t="shared" si="18"/>
        <v>6</v>
      </c>
      <c r="R129" s="370">
        <f t="shared" si="12"/>
        <v>2.836879432624114</v>
      </c>
      <c r="S129" s="366">
        <f t="shared" si="20"/>
        <v>100</v>
      </c>
      <c r="T129" s="366">
        <v>19.98</v>
      </c>
      <c r="U129" s="370">
        <f t="shared" si="16"/>
        <v>99.9</v>
      </c>
      <c r="V129" s="370"/>
      <c r="W129" s="372"/>
      <c r="X129" s="370"/>
      <c r="Y129" s="370"/>
      <c r="Z129" s="370"/>
      <c r="AA129" s="370"/>
      <c r="AB129" s="370"/>
      <c r="AC129" s="370"/>
      <c r="AD129" s="370"/>
      <c r="AE129" s="370"/>
      <c r="AF129" s="370"/>
      <c r="AG129" s="370"/>
      <c r="AH129" s="370"/>
      <c r="AI129" s="370"/>
      <c r="AJ129" s="366"/>
      <c r="AK129" s="366"/>
      <c r="AL129" s="360"/>
      <c r="AM129" s="305" t="s">
        <v>823</v>
      </c>
      <c r="AN129" s="305"/>
      <c r="AO129" s="305"/>
      <c r="AP129" s="305"/>
      <c r="AQ129" s="305"/>
      <c r="AR129" s="305"/>
      <c r="AS129" s="305"/>
      <c r="AT129" s="305"/>
      <c r="AU129" s="305"/>
      <c r="AV129" s="305"/>
    </row>
    <row r="130" spans="1:48" s="306" customFormat="1" ht="58.5">
      <c r="A130" s="304" t="s">
        <v>391</v>
      </c>
      <c r="B130" s="304" t="s">
        <v>743</v>
      </c>
      <c r="C130" s="341" t="s">
        <v>797</v>
      </c>
      <c r="D130" s="284"/>
      <c r="E130" s="284"/>
      <c r="F130" s="284"/>
      <c r="G130" s="284"/>
      <c r="H130" s="284"/>
      <c r="I130" s="284"/>
      <c r="J130" s="366">
        <v>6</v>
      </c>
      <c r="K130" s="370">
        <f t="shared" si="17"/>
        <v>0.42553191489361714</v>
      </c>
      <c r="L130" s="371">
        <v>6</v>
      </c>
      <c r="M130" s="371">
        <v>5</v>
      </c>
      <c r="N130" s="366">
        <f t="shared" si="13"/>
        <v>6</v>
      </c>
      <c r="O130" s="370">
        <f t="shared" si="14"/>
        <v>0.7092198581560285</v>
      </c>
      <c r="P130" s="370">
        <f t="shared" si="15"/>
        <v>5</v>
      </c>
      <c r="Q130" s="366">
        <f t="shared" si="18"/>
        <v>6</v>
      </c>
      <c r="R130" s="370">
        <f t="shared" si="12"/>
        <v>0.7092198581560285</v>
      </c>
      <c r="S130" s="366">
        <f t="shared" si="20"/>
        <v>100</v>
      </c>
      <c r="T130" s="366">
        <v>4.8</v>
      </c>
      <c r="U130" s="370">
        <f t="shared" si="16"/>
        <v>96</v>
      </c>
      <c r="V130" s="370"/>
      <c r="W130" s="372"/>
      <c r="X130" s="370"/>
      <c r="Y130" s="370"/>
      <c r="Z130" s="370"/>
      <c r="AA130" s="370"/>
      <c r="AB130" s="370"/>
      <c r="AC130" s="370"/>
      <c r="AD130" s="370"/>
      <c r="AE130" s="370"/>
      <c r="AF130" s="370"/>
      <c r="AG130" s="370"/>
      <c r="AH130" s="370"/>
      <c r="AI130" s="370"/>
      <c r="AJ130" s="366"/>
      <c r="AK130" s="366"/>
      <c r="AL130" s="360"/>
      <c r="AM130" s="305" t="s">
        <v>823</v>
      </c>
      <c r="AN130" s="305"/>
      <c r="AO130" s="305"/>
      <c r="AP130" s="305"/>
      <c r="AQ130" s="305"/>
      <c r="AR130" s="305"/>
      <c r="AS130" s="305"/>
      <c r="AT130" s="305"/>
      <c r="AU130" s="305"/>
      <c r="AV130" s="305"/>
    </row>
    <row r="131" spans="1:48" s="306" customFormat="1" ht="39">
      <c r="A131" s="304" t="s">
        <v>393</v>
      </c>
      <c r="B131" s="304" t="s">
        <v>744</v>
      </c>
      <c r="C131" s="341" t="s">
        <v>797</v>
      </c>
      <c r="D131" s="284"/>
      <c r="E131" s="284"/>
      <c r="F131" s="284"/>
      <c r="G131" s="284"/>
      <c r="H131" s="284"/>
      <c r="I131" s="284"/>
      <c r="J131" s="366">
        <v>0.5</v>
      </c>
      <c r="K131" s="370">
        <f t="shared" si="17"/>
        <v>3.5460992907801428E-2</v>
      </c>
      <c r="L131" s="371">
        <v>0.5</v>
      </c>
      <c r="M131" s="371">
        <v>0</v>
      </c>
      <c r="N131" s="366">
        <f t="shared" si="13"/>
        <v>0.5</v>
      </c>
      <c r="O131" s="370">
        <f t="shared" si="14"/>
        <v>0</v>
      </c>
      <c r="P131" s="370">
        <f t="shared" si="15"/>
        <v>0</v>
      </c>
      <c r="Q131" s="366">
        <f t="shared" si="18"/>
        <v>0.5</v>
      </c>
      <c r="R131" s="370">
        <f t="shared" si="12"/>
        <v>0</v>
      </c>
      <c r="S131" s="366">
        <f t="shared" si="20"/>
        <v>0</v>
      </c>
      <c r="T131" s="366">
        <v>0</v>
      </c>
      <c r="U131" s="370">
        <f t="shared" si="16"/>
        <v>0</v>
      </c>
      <c r="V131" s="370"/>
      <c r="W131" s="372"/>
      <c r="X131" s="370"/>
      <c r="Y131" s="370"/>
      <c r="Z131" s="370"/>
      <c r="AA131" s="370"/>
      <c r="AB131" s="370"/>
      <c r="AC131" s="370"/>
      <c r="AD131" s="370"/>
      <c r="AE131" s="370"/>
      <c r="AF131" s="370"/>
      <c r="AG131" s="370"/>
      <c r="AH131" s="370"/>
      <c r="AI131" s="370"/>
      <c r="AJ131" s="366"/>
      <c r="AK131" s="366"/>
      <c r="AL131" s="360"/>
      <c r="AM131" s="305" t="s">
        <v>823</v>
      </c>
      <c r="AN131" s="305"/>
      <c r="AO131" s="305"/>
      <c r="AP131" s="305"/>
      <c r="AQ131" s="305"/>
      <c r="AR131" s="305"/>
      <c r="AS131" s="305"/>
      <c r="AT131" s="305"/>
      <c r="AU131" s="305"/>
      <c r="AV131" s="305"/>
    </row>
    <row r="132" spans="1:48" s="306" customFormat="1" ht="39" hidden="1">
      <c r="A132" s="304" t="s">
        <v>450</v>
      </c>
      <c r="B132" s="304" t="s">
        <v>745</v>
      </c>
      <c r="C132" s="341" t="s">
        <v>797</v>
      </c>
      <c r="D132" s="284"/>
      <c r="E132" s="284"/>
      <c r="F132" s="284"/>
      <c r="G132" s="284"/>
      <c r="H132" s="284"/>
      <c r="I132" s="284"/>
      <c r="J132" s="366">
        <v>1</v>
      </c>
      <c r="K132" s="370">
        <f t="shared" si="17"/>
        <v>0.28368794326241142</v>
      </c>
      <c r="L132" s="371">
        <v>4</v>
      </c>
      <c r="M132" s="371"/>
      <c r="N132" s="366">
        <f t="shared" si="13"/>
        <v>1</v>
      </c>
      <c r="O132" s="370">
        <f t="shared" si="14"/>
        <v>0</v>
      </c>
      <c r="P132" s="370">
        <f t="shared" si="15"/>
        <v>0</v>
      </c>
      <c r="Q132" s="366">
        <f t="shared" si="18"/>
        <v>1</v>
      </c>
      <c r="R132" s="370">
        <f t="shared" si="12"/>
        <v>0</v>
      </c>
      <c r="S132" s="366">
        <f t="shared" si="20"/>
        <v>0</v>
      </c>
      <c r="T132" s="366">
        <v>0</v>
      </c>
      <c r="U132" s="370">
        <f t="shared" si="16"/>
        <v>0</v>
      </c>
      <c r="V132" s="370"/>
      <c r="W132" s="372"/>
      <c r="X132" s="370"/>
      <c r="Y132" s="370"/>
      <c r="Z132" s="370"/>
      <c r="AA132" s="370"/>
      <c r="AB132" s="370"/>
      <c r="AC132" s="370"/>
      <c r="AD132" s="370"/>
      <c r="AE132" s="370"/>
      <c r="AF132" s="370"/>
      <c r="AG132" s="370"/>
      <c r="AH132" s="370"/>
      <c r="AI132" s="370"/>
      <c r="AJ132" s="366"/>
      <c r="AK132" s="366"/>
      <c r="AL132" s="360"/>
      <c r="AM132" s="305" t="s">
        <v>820</v>
      </c>
      <c r="AN132" s="305"/>
      <c r="AO132" s="305"/>
      <c r="AP132" s="305"/>
      <c r="AQ132" s="305"/>
      <c r="AR132" s="305"/>
      <c r="AS132" s="305"/>
      <c r="AT132" s="305"/>
      <c r="AU132" s="305"/>
      <c r="AV132" s="305"/>
    </row>
    <row r="133" spans="1:48" s="306" customFormat="1" ht="58.5">
      <c r="A133" s="304" t="s">
        <v>395</v>
      </c>
      <c r="B133" s="304" t="s">
        <v>746</v>
      </c>
      <c r="C133" s="340" t="s">
        <v>794</v>
      </c>
      <c r="D133" s="284"/>
      <c r="E133" s="284"/>
      <c r="F133" s="284"/>
      <c r="G133" s="284"/>
      <c r="H133" s="284"/>
      <c r="I133" s="284"/>
      <c r="J133" s="366">
        <v>5</v>
      </c>
      <c r="K133" s="370">
        <f t="shared" si="17"/>
        <v>0.35460992907801425</v>
      </c>
      <c r="L133" s="371">
        <v>5</v>
      </c>
      <c r="M133" s="371">
        <v>5</v>
      </c>
      <c r="N133" s="366">
        <f t="shared" si="13"/>
        <v>5</v>
      </c>
      <c r="O133" s="370">
        <f t="shared" si="14"/>
        <v>0.7092198581560285</v>
      </c>
      <c r="P133" s="370">
        <f t="shared" si="15"/>
        <v>5</v>
      </c>
      <c r="Q133" s="366">
        <f t="shared" si="18"/>
        <v>5</v>
      </c>
      <c r="R133" s="370">
        <f t="shared" si="12"/>
        <v>0.7092198581560285</v>
      </c>
      <c r="S133" s="366">
        <f t="shared" si="20"/>
        <v>100</v>
      </c>
      <c r="T133" s="366">
        <v>4.8</v>
      </c>
      <c r="U133" s="370">
        <f t="shared" si="16"/>
        <v>96</v>
      </c>
      <c r="V133" s="370"/>
      <c r="W133" s="372"/>
      <c r="X133" s="370"/>
      <c r="Y133" s="370"/>
      <c r="Z133" s="370"/>
      <c r="AA133" s="370"/>
      <c r="AB133" s="370"/>
      <c r="AC133" s="370"/>
      <c r="AD133" s="370"/>
      <c r="AE133" s="370"/>
      <c r="AF133" s="370"/>
      <c r="AG133" s="370"/>
      <c r="AH133" s="370"/>
      <c r="AI133" s="370"/>
      <c r="AJ133" s="366"/>
      <c r="AK133" s="366"/>
      <c r="AL133" s="360"/>
      <c r="AM133" s="305" t="s">
        <v>823</v>
      </c>
      <c r="AN133" s="305"/>
      <c r="AO133" s="305"/>
      <c r="AP133" s="305"/>
      <c r="AQ133" s="305"/>
      <c r="AR133" s="305"/>
      <c r="AS133" s="305"/>
      <c r="AT133" s="305"/>
      <c r="AU133" s="305"/>
      <c r="AV133" s="305"/>
    </row>
    <row r="134" spans="1:48" s="306" customFormat="1" ht="58.5">
      <c r="A134" s="334" t="s">
        <v>600</v>
      </c>
      <c r="B134" s="334" t="s">
        <v>747</v>
      </c>
      <c r="C134" s="342" t="s">
        <v>794</v>
      </c>
      <c r="D134" s="281"/>
      <c r="E134" s="281"/>
      <c r="F134" s="281"/>
      <c r="G134" s="281"/>
      <c r="H134" s="281"/>
      <c r="I134" s="281"/>
      <c r="J134" s="374">
        <v>2</v>
      </c>
      <c r="K134" s="375">
        <f t="shared" si="17"/>
        <v>0.7092198581560285</v>
      </c>
      <c r="L134" s="376">
        <v>10</v>
      </c>
      <c r="M134" s="376">
        <v>10</v>
      </c>
      <c r="N134" s="374">
        <f t="shared" si="13"/>
        <v>2</v>
      </c>
      <c r="O134" s="375">
        <f t="shared" si="14"/>
        <v>1.418439716312057</v>
      </c>
      <c r="P134" s="375">
        <f t="shared" si="15"/>
        <v>10</v>
      </c>
      <c r="Q134" s="374">
        <v>1</v>
      </c>
      <c r="R134" s="375">
        <f t="shared" si="12"/>
        <v>0.7092198581560285</v>
      </c>
      <c r="S134" s="374">
        <f t="shared" si="20"/>
        <v>50</v>
      </c>
      <c r="T134" s="374">
        <v>4.99</v>
      </c>
      <c r="U134" s="375">
        <f t="shared" si="16"/>
        <v>49.9</v>
      </c>
      <c r="V134" s="375"/>
      <c r="W134" s="378"/>
      <c r="X134" s="375"/>
      <c r="Y134" s="375"/>
      <c r="Z134" s="375"/>
      <c r="AA134" s="375"/>
      <c r="AB134" s="375"/>
      <c r="AC134" s="375"/>
      <c r="AD134" s="375"/>
      <c r="AE134" s="375"/>
      <c r="AF134" s="375"/>
      <c r="AG134" s="375"/>
      <c r="AH134" s="375"/>
      <c r="AI134" s="375"/>
      <c r="AJ134" s="374"/>
      <c r="AK134" s="374"/>
      <c r="AL134" s="361"/>
      <c r="AM134" s="305" t="s">
        <v>823</v>
      </c>
      <c r="AN134" s="305"/>
      <c r="AO134" s="305"/>
      <c r="AP134" s="305"/>
      <c r="AQ134" s="305"/>
      <c r="AR134" s="305"/>
      <c r="AS134" s="305"/>
      <c r="AT134" s="305"/>
      <c r="AU134" s="305"/>
      <c r="AV134" s="305"/>
    </row>
    <row r="135" spans="1:48" s="177" customFormat="1" ht="19.5" hidden="1">
      <c r="A135" s="406" t="s">
        <v>748</v>
      </c>
      <c r="B135" s="407" t="s">
        <v>749</v>
      </c>
      <c r="C135" s="406"/>
      <c r="D135" s="406"/>
      <c r="E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406">
        <f>SUM(G32:G32)</f>
        <v>0</v>
      </c>
      <c r="H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409"/>
      <c r="K135" s="410">
        <f>SUM(K22:K30,K32:K33,K35,K37,K39,K41,K43,K45,K47,K49,K51,K53,K55,K57,K59,K61,K63,K65,K67:K134)</f>
        <v>99.999999999999943</v>
      </c>
      <c r="L135" s="410">
        <f>SUM(L22:L30,L32:L33,L35,L37,L39,L41,L43,L45,L47,L49,L51,L53,L55,L57,L59,L61,L63,L65,L67:L134)</f>
        <v>1409.9999999999998</v>
      </c>
      <c r="M135" s="410">
        <f>SUM(M22:M134)</f>
        <v>704.99999999999989</v>
      </c>
      <c r="N135" s="409"/>
      <c r="O135" s="410">
        <f>SUM(O22:O30,O32:O33,O35,O37,O39,O41,O43,O45,O47,O49,O51,O53,O55,O57,O59,O61,O63,O65,O67:O134)</f>
        <v>77.920567375886563</v>
      </c>
      <c r="P135" s="410">
        <f>SUM(P22:P134)</f>
        <v>704.99999999999989</v>
      </c>
      <c r="Q135" s="410"/>
      <c r="R135" s="410">
        <f>SUM(R22:R30,R32:R33,R35,R37,R39,R41,R43,R45,R47,R49,R51,R53,R55,R57,R59,R61,R63,R65,R67:R134)</f>
        <v>77.211347517730545</v>
      </c>
      <c r="S135" s="410">
        <f>R135/O135*100</f>
        <v>99.089816871154497</v>
      </c>
      <c r="T135" s="410">
        <f>SUM(T22:T134)</f>
        <v>683.29</v>
      </c>
      <c r="U135" s="410">
        <f>T135*100/P135</f>
        <v>96.920567375886534</v>
      </c>
      <c r="V135" s="369"/>
      <c r="W135" s="369">
        <f>SUM(W31:W134)</f>
        <v>11.120000000000001</v>
      </c>
      <c r="X135" s="369" t="e">
        <f>#REF!+#REF!+#REF!+#REF!</f>
        <v>#REF!</v>
      </c>
      <c r="Y135" s="369"/>
      <c r="Z135" s="369"/>
      <c r="AA135" s="369">
        <f>SUM(AA31:AA134)</f>
        <v>2.8155319148936169</v>
      </c>
      <c r="AB135" s="369"/>
      <c r="AC135" s="369"/>
      <c r="AD135" s="369"/>
      <c r="AE135" s="369"/>
      <c r="AF135" s="369"/>
      <c r="AG135" s="369"/>
      <c r="AH135" s="369"/>
      <c r="AI135" s="369">
        <f>SUM(AI31:AI134)</f>
        <v>3.410283687943263</v>
      </c>
      <c r="AJ135" s="373"/>
      <c r="AK135" s="373"/>
      <c r="AL135" s="331"/>
      <c r="AM135" s="220"/>
      <c r="AN135" s="220"/>
      <c r="AO135" s="220"/>
      <c r="AP135" s="220"/>
      <c r="AQ135" s="220"/>
      <c r="AR135" s="220"/>
      <c r="AS135" s="220"/>
      <c r="AT135" s="220"/>
      <c r="AU135" s="220"/>
      <c r="AV135" s="220"/>
    </row>
    <row r="136" spans="1:48" ht="19.5" hidden="1">
      <c r="A136" s="296"/>
      <c r="B136" s="381" t="s">
        <v>756</v>
      </c>
      <c r="C136" s="296"/>
      <c r="D136" s="296"/>
      <c r="E136" s="296">
        <v>100</v>
      </c>
      <c r="F136" s="296" t="e">
        <f t="shared" ref="F136:AI136" si="21">F135</f>
        <v>#REF!</v>
      </c>
      <c r="G136" s="296">
        <f t="shared" si="21"/>
        <v>0</v>
      </c>
      <c r="H136" s="296" t="e">
        <f t="shared" si="21"/>
        <v>#REF!</v>
      </c>
      <c r="I136" s="296" t="e">
        <f t="shared" si="21"/>
        <v>#REF!</v>
      </c>
      <c r="J136" s="382"/>
      <c r="K136" s="383">
        <f t="shared" si="21"/>
        <v>99.999999999999943</v>
      </c>
      <c r="L136" s="383">
        <f>L135</f>
        <v>1409.9999999999998</v>
      </c>
      <c r="M136" s="383"/>
      <c r="N136" s="384"/>
      <c r="O136" s="383">
        <f>O135</f>
        <v>77.920567375886563</v>
      </c>
      <c r="P136" s="383">
        <f>P135</f>
        <v>704.99999999999989</v>
      </c>
      <c r="Q136" s="384"/>
      <c r="R136" s="383">
        <f t="shared" ref="R136:T136" si="22">R135</f>
        <v>77.211347517730545</v>
      </c>
      <c r="S136" s="383">
        <f t="shared" si="22"/>
        <v>99.089816871154497</v>
      </c>
      <c r="T136" s="383">
        <f t="shared" si="22"/>
        <v>683.29</v>
      </c>
      <c r="U136" s="385">
        <f>T136*100/P136</f>
        <v>96.920567375886534</v>
      </c>
      <c r="V136" s="382"/>
      <c r="W136" s="382">
        <f t="shared" si="21"/>
        <v>11.120000000000001</v>
      </c>
      <c r="X136" s="382" t="e">
        <f t="shared" si="21"/>
        <v>#REF!</v>
      </c>
      <c r="Y136" s="382"/>
      <c r="Z136" s="382"/>
      <c r="AA136" s="377">
        <f t="shared" si="21"/>
        <v>2.8155319148936169</v>
      </c>
      <c r="AB136" s="377"/>
      <c r="AC136" s="377"/>
      <c r="AD136" s="377"/>
      <c r="AE136" s="377"/>
      <c r="AF136" s="377"/>
      <c r="AG136" s="377"/>
      <c r="AH136" s="382"/>
      <c r="AI136" s="377">
        <f t="shared" si="21"/>
        <v>3.410283687943263</v>
      </c>
      <c r="AJ136" s="382"/>
      <c r="AK136" s="382"/>
      <c r="AL136" s="296"/>
      <c r="AM136" s="220"/>
      <c r="AN136" s="220"/>
      <c r="AO136" s="220"/>
      <c r="AP136" s="220"/>
      <c r="AQ136" s="220"/>
      <c r="AR136" s="220"/>
      <c r="AS136" s="220"/>
      <c r="AT136" s="220"/>
      <c r="AU136" s="220"/>
      <c r="AV136" s="220"/>
    </row>
    <row r="137" spans="1:48" s="220" customFormat="1" ht="19.5" hidden="1">
      <c r="A137" s="386"/>
      <c r="B137" s="387"/>
      <c r="C137" s="388"/>
      <c r="D137" s="389"/>
      <c r="E137" s="389"/>
      <c r="F137" s="389"/>
      <c r="G137" s="389"/>
      <c r="H137" s="389"/>
      <c r="I137" s="389"/>
      <c r="J137" s="390"/>
      <c r="K137" s="617"/>
      <c r="L137" s="617"/>
      <c r="M137" s="391"/>
      <c r="N137" s="390"/>
      <c r="O137" s="390"/>
      <c r="P137" s="390"/>
      <c r="Q137" s="390"/>
      <c r="R137" s="390"/>
      <c r="S137" s="390"/>
      <c r="T137" s="390"/>
      <c r="U137" s="390"/>
      <c r="V137" s="390"/>
      <c r="W137" s="390"/>
      <c r="X137" s="390"/>
      <c r="Y137" s="390"/>
      <c r="Z137" s="390"/>
      <c r="AA137" s="389"/>
      <c r="AB137" s="389"/>
      <c r="AC137" s="389"/>
      <c r="AD137" s="389"/>
      <c r="AE137" s="389"/>
      <c r="AF137" s="389"/>
      <c r="AG137" s="389"/>
      <c r="AH137" s="389"/>
      <c r="AI137" s="392"/>
      <c r="AJ137" s="392"/>
      <c r="AK137" s="392"/>
      <c r="AL137" s="393"/>
    </row>
    <row r="138" spans="1:48" s="220" customFormat="1" ht="19.5" hidden="1">
      <c r="A138" s="394"/>
      <c r="C138" s="311"/>
      <c r="D138" s="256"/>
      <c r="E138" s="256"/>
      <c r="F138" s="256"/>
      <c r="G138" s="256"/>
      <c r="H138" s="256"/>
      <c r="I138" s="256"/>
      <c r="J138" s="257"/>
      <c r="K138" s="257"/>
      <c r="L138" s="321"/>
      <c r="M138" s="321"/>
      <c r="N138" s="257"/>
      <c r="O138" s="257"/>
      <c r="P138" s="257"/>
      <c r="Q138" s="257"/>
      <c r="R138" s="257"/>
      <c r="S138" s="257"/>
      <c r="T138" s="257"/>
      <c r="U138" s="257"/>
      <c r="V138" s="257"/>
      <c r="W138" s="257"/>
      <c r="X138" s="257"/>
      <c r="Y138" s="257"/>
      <c r="Z138" s="257"/>
      <c r="AA138" s="256"/>
      <c r="AB138" s="256"/>
      <c r="AC138" s="256"/>
      <c r="AD138" s="256"/>
      <c r="AE138" s="256"/>
      <c r="AF138" s="256"/>
      <c r="AG138" s="256"/>
      <c r="AH138" s="256"/>
      <c r="AI138" s="256"/>
      <c r="AJ138" s="256"/>
      <c r="AK138" s="256"/>
      <c r="AL138" s="395"/>
    </row>
    <row r="139" spans="1:48" s="220" customFormat="1" ht="19.5" hidden="1">
      <c r="A139" s="394"/>
      <c r="C139" s="311"/>
      <c r="D139" s="256"/>
      <c r="E139" s="256"/>
      <c r="F139" s="256"/>
      <c r="G139" s="256"/>
      <c r="H139" s="256"/>
      <c r="I139" s="256"/>
      <c r="J139" s="257"/>
      <c r="K139" s="257"/>
      <c r="L139" s="321"/>
      <c r="M139" s="321"/>
      <c r="N139" s="257"/>
      <c r="O139" s="257"/>
      <c r="P139" s="257"/>
      <c r="Q139" s="257"/>
      <c r="R139" s="257"/>
      <c r="S139" s="257"/>
      <c r="T139" s="257"/>
      <c r="U139" s="257"/>
      <c r="V139" s="257"/>
      <c r="W139" s="257"/>
      <c r="X139" s="257"/>
      <c r="Y139" s="257"/>
      <c r="Z139" s="257"/>
      <c r="AA139" s="256"/>
      <c r="AB139" s="256"/>
      <c r="AC139" s="256"/>
      <c r="AD139" s="256"/>
      <c r="AE139" s="256"/>
      <c r="AF139" s="256"/>
      <c r="AG139" s="256"/>
      <c r="AH139" s="256"/>
      <c r="AI139" s="256"/>
      <c r="AJ139" s="256"/>
      <c r="AK139" s="256"/>
      <c r="AL139" s="395"/>
    </row>
    <row r="140" spans="1:48" s="220" customFormat="1" ht="19.5" hidden="1">
      <c r="A140" s="394"/>
      <c r="B140" s="258" t="s">
        <v>750</v>
      </c>
      <c r="C140" s="312"/>
      <c r="D140" s="259"/>
      <c r="E140" s="259"/>
      <c r="F140" s="259"/>
      <c r="G140" s="259"/>
      <c r="H140" s="259"/>
      <c r="I140" s="259"/>
      <c r="J140" s="260"/>
      <c r="K140" s="261"/>
      <c r="L140" s="322"/>
      <c r="M140" s="322"/>
      <c r="N140" s="261"/>
      <c r="O140" s="261"/>
      <c r="P140" s="261"/>
      <c r="Q140" s="258" t="s">
        <v>770</v>
      </c>
      <c r="R140" s="261"/>
      <c r="S140" s="261"/>
      <c r="T140" s="261"/>
      <c r="U140" s="261"/>
      <c r="V140" s="261"/>
      <c r="W140" s="261"/>
      <c r="X140" s="261"/>
      <c r="Y140" s="261"/>
      <c r="Z140" s="261"/>
      <c r="AA140" s="259"/>
      <c r="AB140" s="259"/>
      <c r="AC140" s="259"/>
      <c r="AD140" s="259"/>
      <c r="AE140" s="259"/>
      <c r="AF140" s="259"/>
      <c r="AG140" s="259"/>
      <c r="AH140" s="259"/>
      <c r="AI140" s="259"/>
      <c r="AL140" s="396"/>
    </row>
    <row r="141" spans="1:48" s="220" customFormat="1" ht="19.5" hidden="1">
      <c r="A141" s="397"/>
      <c r="B141" s="398" t="s">
        <v>751</v>
      </c>
      <c r="C141" s="399"/>
      <c r="D141" s="400"/>
      <c r="E141" s="400"/>
      <c r="F141" s="400"/>
      <c r="G141" s="400"/>
      <c r="H141" s="400"/>
      <c r="I141" s="400"/>
      <c r="J141" s="401"/>
      <c r="K141" s="401"/>
      <c r="L141" s="402"/>
      <c r="M141" s="402"/>
      <c r="N141" s="401"/>
      <c r="O141" s="401"/>
      <c r="P141" s="401"/>
      <c r="Q141" s="398" t="s">
        <v>751</v>
      </c>
      <c r="R141" s="403"/>
      <c r="S141" s="401"/>
      <c r="T141" s="401"/>
      <c r="U141" s="401"/>
      <c r="V141" s="401"/>
      <c r="W141" s="401"/>
      <c r="X141" s="401"/>
      <c r="Y141" s="401"/>
      <c r="Z141" s="401"/>
      <c r="AA141" s="400"/>
      <c r="AB141" s="400"/>
      <c r="AC141" s="400"/>
      <c r="AD141" s="400"/>
      <c r="AE141" s="400"/>
      <c r="AF141" s="400"/>
      <c r="AG141" s="400"/>
      <c r="AH141" s="400"/>
      <c r="AI141" s="400"/>
      <c r="AJ141" s="400"/>
      <c r="AK141" s="400"/>
      <c r="AL141" s="404"/>
    </row>
    <row r="142" spans="1:48" s="220" customFormat="1" ht="19.5" hidden="1">
      <c r="C142" s="313"/>
      <c r="L142" s="323"/>
      <c r="M142" s="323"/>
      <c r="V142" s="220" t="s">
        <v>457</v>
      </c>
      <c r="X142" s="263"/>
    </row>
    <row r="143" spans="1:48" s="220" customFormat="1" ht="19.5" hidden="1">
      <c r="C143" s="313"/>
      <c r="L143" s="323"/>
      <c r="M143" s="323"/>
      <c r="X143" s="263"/>
    </row>
    <row r="144" spans="1:48" s="220" customFormat="1" ht="19.5" hidden="1">
      <c r="C144" s="313"/>
      <c r="L144" s="323"/>
      <c r="M144" s="323"/>
      <c r="X144" s="263"/>
    </row>
    <row r="145" spans="3:48" s="220" customFormat="1" ht="19.5" hidden="1">
      <c r="C145" s="313"/>
      <c r="L145" s="323"/>
      <c r="M145" s="323"/>
      <c r="X145" s="263"/>
    </row>
    <row r="146" spans="3:48" ht="19.5" hidden="1">
      <c r="C146" s="313"/>
      <c r="D146" s="220"/>
      <c r="E146" s="220"/>
      <c r="F146" s="220"/>
      <c r="G146" s="220"/>
      <c r="H146" s="220"/>
      <c r="I146" s="220"/>
      <c r="J146" s="220"/>
      <c r="K146" s="220"/>
      <c r="L146" s="323"/>
      <c r="M146" s="323"/>
      <c r="N146" s="220"/>
      <c r="O146" s="220"/>
      <c r="P146" s="220"/>
      <c r="Q146" s="220"/>
      <c r="R146" s="220"/>
      <c r="S146" s="220"/>
      <c r="T146" s="220"/>
      <c r="U146" s="220"/>
      <c r="V146" s="220"/>
      <c r="W146" s="220"/>
      <c r="X146" s="263"/>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row>
    <row r="147" spans="3:48" ht="19.5" hidden="1">
      <c r="C147" s="313"/>
      <c r="D147" s="220"/>
      <c r="E147" s="220"/>
      <c r="F147" s="220"/>
      <c r="G147" s="220"/>
      <c r="H147" s="220"/>
      <c r="I147" s="220"/>
      <c r="J147" s="220"/>
      <c r="K147" s="220"/>
      <c r="L147" s="323"/>
      <c r="M147" s="323"/>
      <c r="N147" s="220"/>
      <c r="O147" s="220"/>
      <c r="P147" s="220"/>
      <c r="Q147" s="220"/>
      <c r="R147" s="220"/>
      <c r="S147" s="220"/>
      <c r="T147" s="220"/>
      <c r="U147" s="220"/>
      <c r="V147" s="220"/>
      <c r="W147" s="220"/>
      <c r="X147" s="263"/>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row>
    <row r="148" spans="3:48" ht="19.5" hidden="1">
      <c r="C148" s="313"/>
      <c r="D148" s="220"/>
      <c r="E148" s="220"/>
      <c r="F148" s="220"/>
      <c r="G148" s="220"/>
      <c r="H148" s="220"/>
      <c r="I148" s="220"/>
      <c r="J148" s="220"/>
      <c r="K148" s="220"/>
      <c r="L148" s="323"/>
      <c r="M148" s="323"/>
      <c r="N148" s="220"/>
      <c r="O148" s="220"/>
      <c r="P148" s="220"/>
      <c r="Q148" s="220"/>
      <c r="R148" s="220"/>
      <c r="S148" s="220"/>
      <c r="T148" s="220"/>
      <c r="U148" s="220"/>
      <c r="V148" s="220"/>
      <c r="W148" s="220"/>
      <c r="X148" s="263"/>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row>
    <row r="149" spans="3:48" ht="19.5" hidden="1">
      <c r="C149" s="313"/>
      <c r="D149" s="220"/>
      <c r="E149" s="220"/>
      <c r="F149" s="220"/>
      <c r="G149" s="220"/>
      <c r="H149" s="220"/>
      <c r="I149" s="220"/>
      <c r="J149" s="220"/>
      <c r="K149" s="220"/>
      <c r="L149" s="323"/>
      <c r="M149" s="323"/>
      <c r="N149" s="220"/>
      <c r="O149" s="220"/>
      <c r="P149" s="220"/>
      <c r="Q149" s="220"/>
      <c r="R149" s="220"/>
      <c r="S149" s="220"/>
      <c r="T149" s="220"/>
      <c r="U149" s="220"/>
      <c r="V149" s="220"/>
      <c r="W149" s="220"/>
      <c r="X149" s="263"/>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row>
    <row r="150" spans="3:48" ht="19.5" hidden="1">
      <c r="C150" s="313"/>
      <c r="D150" s="220"/>
      <c r="E150" s="220"/>
      <c r="F150" s="220"/>
      <c r="G150" s="220"/>
      <c r="H150" s="220"/>
      <c r="I150" s="220"/>
      <c r="J150" s="220"/>
      <c r="K150" s="220"/>
      <c r="L150" s="323"/>
      <c r="M150" s="323"/>
      <c r="N150" s="220"/>
      <c r="O150" s="220"/>
      <c r="P150" s="220"/>
      <c r="Q150" s="220"/>
      <c r="R150" s="220"/>
      <c r="S150" s="220"/>
      <c r="T150" s="220"/>
      <c r="U150" s="220"/>
      <c r="V150" s="220"/>
      <c r="W150" s="220"/>
      <c r="X150" s="263"/>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row>
    <row r="151" spans="3:48" ht="19.5" hidden="1">
      <c r="C151" s="313"/>
      <c r="D151" s="220"/>
      <c r="E151" s="220"/>
      <c r="F151" s="220"/>
      <c r="G151" s="220"/>
      <c r="H151" s="220"/>
      <c r="I151" s="220"/>
      <c r="J151" s="220"/>
      <c r="K151" s="220"/>
      <c r="L151" s="323"/>
      <c r="M151" s="323"/>
      <c r="N151" s="220"/>
      <c r="O151" s="220"/>
      <c r="P151" s="220"/>
      <c r="Q151" s="220"/>
      <c r="R151" s="220"/>
      <c r="S151" s="220"/>
      <c r="T151" s="220"/>
      <c r="U151" s="220"/>
      <c r="V151" s="220"/>
      <c r="W151" s="220"/>
      <c r="X151" s="263"/>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row>
    <row r="152" spans="3:48" ht="19.5" hidden="1">
      <c r="C152" s="313"/>
      <c r="D152" s="220"/>
      <c r="E152" s="220"/>
      <c r="F152" s="220"/>
      <c r="G152" s="220"/>
      <c r="H152" s="220"/>
      <c r="I152" s="220"/>
      <c r="J152" s="220"/>
      <c r="K152" s="220"/>
      <c r="L152" s="323"/>
      <c r="M152" s="323"/>
      <c r="N152" s="220"/>
      <c r="O152" s="220"/>
      <c r="P152" s="220"/>
      <c r="Q152" s="220"/>
      <c r="R152" s="220"/>
      <c r="S152" s="220"/>
      <c r="T152" s="220"/>
      <c r="U152" s="220"/>
      <c r="V152" s="220"/>
      <c r="W152" s="220"/>
      <c r="X152" s="263"/>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row>
    <row r="153" spans="3:48" ht="19.5" hidden="1">
      <c r="C153" s="313"/>
      <c r="D153" s="220"/>
      <c r="E153" s="220"/>
      <c r="F153" s="220"/>
      <c r="G153" s="220"/>
      <c r="H153" s="220"/>
      <c r="I153" s="220"/>
      <c r="J153" s="220"/>
      <c r="K153" s="220"/>
      <c r="L153" s="323"/>
      <c r="M153" s="323"/>
      <c r="N153" s="220"/>
      <c r="O153" s="220"/>
      <c r="P153" s="220"/>
      <c r="Q153" s="220"/>
      <c r="R153" s="220"/>
      <c r="S153" s="220"/>
      <c r="T153" s="220"/>
      <c r="U153" s="220"/>
      <c r="V153" s="220"/>
      <c r="W153" s="220"/>
      <c r="X153" s="263"/>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row>
    <row r="154" spans="3:48" ht="19.5" hidden="1">
      <c r="C154" s="313"/>
      <c r="D154" s="220"/>
      <c r="E154" s="220"/>
      <c r="F154" s="220"/>
      <c r="G154" s="220"/>
      <c r="H154" s="220"/>
      <c r="I154" s="220"/>
      <c r="J154" s="220"/>
      <c r="K154" s="220"/>
      <c r="L154" s="323"/>
      <c r="M154" s="323"/>
      <c r="N154" s="220"/>
      <c r="O154" s="220"/>
      <c r="P154" s="220"/>
      <c r="Q154" s="220"/>
      <c r="R154" s="220"/>
      <c r="S154" s="220"/>
      <c r="T154" s="220"/>
      <c r="U154" s="220"/>
      <c r="V154" s="220"/>
      <c r="W154" s="220"/>
      <c r="X154" s="263"/>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row>
    <row r="155" spans="3:48" ht="19.5" hidden="1">
      <c r="C155" s="313"/>
      <c r="D155" s="220"/>
      <c r="E155" s="220"/>
      <c r="F155" s="220"/>
      <c r="G155" s="220"/>
      <c r="H155" s="220"/>
      <c r="I155" s="220"/>
      <c r="J155" s="220"/>
      <c r="K155" s="220"/>
      <c r="L155" s="323"/>
      <c r="M155" s="323"/>
      <c r="N155" s="220"/>
      <c r="O155" s="220"/>
      <c r="P155" s="220"/>
      <c r="Q155" s="220"/>
      <c r="R155" s="220"/>
      <c r="S155" s="220"/>
      <c r="T155" s="220"/>
      <c r="U155" s="220"/>
      <c r="V155" s="220"/>
      <c r="W155" s="220"/>
      <c r="X155" s="263"/>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row>
    <row r="156" spans="3:48" ht="19.5" hidden="1">
      <c r="C156" s="313"/>
      <c r="D156" s="220"/>
      <c r="E156" s="220"/>
      <c r="F156" s="220"/>
      <c r="G156" s="220"/>
      <c r="H156" s="220"/>
      <c r="I156" s="220"/>
      <c r="J156" s="220"/>
      <c r="K156" s="220"/>
      <c r="L156" s="323"/>
      <c r="M156" s="323"/>
      <c r="N156" s="220"/>
      <c r="O156" s="220"/>
      <c r="P156" s="220"/>
      <c r="Q156" s="220"/>
      <c r="R156" s="220"/>
      <c r="S156" s="220"/>
      <c r="T156" s="220"/>
      <c r="U156" s="220"/>
      <c r="V156" s="220"/>
      <c r="W156" s="220"/>
      <c r="X156" s="263"/>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row>
    <row r="157" spans="3:48" ht="19.5" hidden="1">
      <c r="C157" s="313"/>
      <c r="D157" s="220"/>
      <c r="E157" s="220"/>
      <c r="F157" s="220"/>
      <c r="G157" s="220"/>
      <c r="H157" s="220"/>
      <c r="I157" s="220"/>
      <c r="J157" s="220"/>
      <c r="K157" s="220"/>
      <c r="L157" s="323"/>
      <c r="M157" s="323"/>
      <c r="N157" s="220"/>
      <c r="O157" s="220"/>
      <c r="P157" s="220"/>
      <c r="Q157" s="220"/>
      <c r="R157" s="220"/>
      <c r="S157" s="220"/>
      <c r="T157" s="220"/>
      <c r="U157" s="220"/>
      <c r="V157" s="220"/>
      <c r="W157" s="220"/>
      <c r="X157" s="263"/>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row>
    <row r="158" spans="3:48" ht="19.5" hidden="1">
      <c r="C158" s="313"/>
      <c r="D158" s="220"/>
      <c r="E158" s="220"/>
      <c r="F158" s="220"/>
      <c r="G158" s="220"/>
      <c r="H158" s="220"/>
      <c r="I158" s="220"/>
      <c r="J158" s="220"/>
      <c r="K158" s="220"/>
      <c r="L158" s="323"/>
      <c r="M158" s="323"/>
      <c r="N158" s="220"/>
      <c r="O158" s="220"/>
      <c r="P158" s="220"/>
      <c r="Q158" s="220"/>
      <c r="R158" s="220"/>
      <c r="S158" s="220"/>
      <c r="T158" s="220"/>
      <c r="U158" s="220"/>
      <c r="V158" s="220"/>
      <c r="W158" s="220"/>
      <c r="X158" s="263"/>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row>
    <row r="159" spans="3:48" ht="19.5" hidden="1">
      <c r="C159" s="313"/>
      <c r="D159" s="220"/>
      <c r="E159" s="220"/>
      <c r="F159" s="220"/>
      <c r="G159" s="220"/>
      <c r="H159" s="220"/>
      <c r="I159" s="220"/>
      <c r="J159" s="220"/>
      <c r="K159" s="220"/>
      <c r="L159" s="323"/>
      <c r="M159" s="323"/>
      <c r="N159" s="220"/>
      <c r="O159" s="220"/>
      <c r="P159" s="220"/>
      <c r="Q159" s="220"/>
      <c r="R159" s="220"/>
      <c r="S159" s="220"/>
      <c r="T159" s="220"/>
      <c r="U159" s="220"/>
      <c r="V159" s="220"/>
      <c r="W159" s="220"/>
      <c r="X159" s="263"/>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row>
    <row r="160" spans="3:48" ht="19.5" hidden="1">
      <c r="C160" s="313"/>
      <c r="D160" s="220"/>
      <c r="E160" s="220"/>
      <c r="F160" s="220"/>
      <c r="G160" s="220"/>
      <c r="H160" s="220"/>
      <c r="I160" s="220"/>
      <c r="J160" s="220"/>
      <c r="K160" s="220"/>
      <c r="L160" s="323"/>
      <c r="M160" s="323"/>
      <c r="N160" s="220"/>
      <c r="O160" s="220"/>
      <c r="P160" s="220"/>
      <c r="Q160" s="220"/>
      <c r="R160" s="220"/>
      <c r="S160" s="220"/>
      <c r="T160" s="220"/>
      <c r="U160" s="220"/>
      <c r="V160" s="220"/>
      <c r="W160" s="220"/>
      <c r="X160" s="263"/>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row>
    <row r="161" spans="3:48" ht="19.5" hidden="1">
      <c r="C161" s="313"/>
      <c r="D161" s="220"/>
      <c r="E161" s="220"/>
      <c r="F161" s="220"/>
      <c r="G161" s="220"/>
      <c r="H161" s="220"/>
      <c r="I161" s="220"/>
      <c r="J161" s="220"/>
      <c r="K161" s="220"/>
      <c r="L161" s="323"/>
      <c r="M161" s="323"/>
      <c r="N161" s="220"/>
      <c r="O161" s="220"/>
      <c r="P161" s="220"/>
      <c r="Q161" s="220"/>
      <c r="R161" s="220"/>
      <c r="S161" s="220"/>
      <c r="T161" s="220"/>
      <c r="U161" s="220"/>
      <c r="V161" s="220"/>
      <c r="W161" s="220"/>
      <c r="X161" s="263"/>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row>
    <row r="162" spans="3:48" ht="19.5" hidden="1">
      <c r="C162" s="313"/>
      <c r="D162" s="220"/>
      <c r="E162" s="220"/>
      <c r="F162" s="220"/>
      <c r="G162" s="220"/>
      <c r="H162" s="220"/>
      <c r="I162" s="220"/>
      <c r="J162" s="220"/>
      <c r="K162" s="220"/>
      <c r="L162" s="323"/>
      <c r="M162" s="323"/>
      <c r="N162" s="220"/>
      <c r="O162" s="220"/>
      <c r="P162" s="220"/>
      <c r="Q162" s="220"/>
      <c r="R162" s="220"/>
      <c r="S162" s="220"/>
      <c r="T162" s="220"/>
      <c r="U162" s="220"/>
      <c r="V162" s="220"/>
      <c r="W162" s="220"/>
      <c r="X162" s="263"/>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row>
    <row r="163" spans="3:48" ht="19.5" hidden="1">
      <c r="C163" s="313"/>
      <c r="D163" s="220"/>
      <c r="E163" s="220"/>
      <c r="F163" s="220"/>
      <c r="G163" s="220"/>
      <c r="H163" s="220"/>
      <c r="I163" s="220"/>
      <c r="J163" s="220"/>
      <c r="K163" s="220"/>
      <c r="L163" s="323"/>
      <c r="M163" s="323"/>
      <c r="N163" s="220"/>
      <c r="O163" s="220"/>
      <c r="P163" s="220"/>
      <c r="Q163" s="220"/>
      <c r="R163" s="220"/>
      <c r="S163" s="220"/>
      <c r="T163" s="220"/>
      <c r="U163" s="220"/>
      <c r="V163" s="220"/>
      <c r="W163" s="220"/>
      <c r="X163" s="263"/>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row>
    <row r="164" spans="3:48" ht="19.5" hidden="1">
      <c r="C164" s="313"/>
      <c r="D164" s="220"/>
      <c r="E164" s="220"/>
      <c r="F164" s="220"/>
      <c r="G164" s="220"/>
      <c r="H164" s="220"/>
      <c r="I164" s="220"/>
      <c r="J164" s="220"/>
      <c r="K164" s="220"/>
      <c r="L164" s="323"/>
      <c r="M164" s="323"/>
      <c r="N164" s="220"/>
      <c r="O164" s="220"/>
      <c r="P164" s="220"/>
      <c r="Q164" s="220"/>
      <c r="R164" s="220"/>
      <c r="S164" s="220"/>
      <c r="T164" s="220"/>
      <c r="U164" s="220"/>
      <c r="V164" s="220"/>
      <c r="W164" s="220"/>
      <c r="X164" s="263"/>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row>
    <row r="165" spans="3:48" ht="19.5" hidden="1">
      <c r="C165" s="313"/>
      <c r="D165" s="220"/>
      <c r="E165" s="220"/>
      <c r="F165" s="220"/>
      <c r="G165" s="220"/>
      <c r="H165" s="220"/>
      <c r="I165" s="220"/>
      <c r="J165" s="220"/>
      <c r="K165" s="220"/>
      <c r="L165" s="323"/>
      <c r="M165" s="323"/>
      <c r="N165" s="220"/>
      <c r="O165" s="220"/>
      <c r="P165" s="220"/>
      <c r="Q165" s="220"/>
      <c r="R165" s="220"/>
      <c r="S165" s="220"/>
      <c r="T165" s="220"/>
      <c r="U165" s="220"/>
      <c r="V165" s="220"/>
      <c r="W165" s="220"/>
      <c r="X165" s="263"/>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row>
    <row r="166" spans="3:48">
      <c r="K166" s="410">
        <f t="shared" ref="K166:L166" si="23">SUBTOTAL(9,K32:K134)</f>
        <v>63.120567375886516</v>
      </c>
      <c r="L166" s="410">
        <f t="shared" si="23"/>
        <v>890</v>
      </c>
      <c r="M166" s="410">
        <f>SUBTOTAL(9,M32:M134)</f>
        <v>346.90000000000003</v>
      </c>
      <c r="N166" s="409"/>
      <c r="O166" s="410">
        <f t="shared" ref="O166:P166" si="24">SUBTOTAL(9,O32:O134)</f>
        <v>49.205673758865238</v>
      </c>
      <c r="P166" s="410">
        <f t="shared" si="24"/>
        <v>346.90000000000003</v>
      </c>
      <c r="Q166" s="410"/>
      <c r="R166" s="410">
        <f>SUBTOTAL(9,R32:R134)</f>
        <v>48.496453900709206</v>
      </c>
      <c r="S166" s="410">
        <f>R166/O166*100</f>
        <v>98.558662438743156</v>
      </c>
      <c r="T166" s="410">
        <f>SUBTOTAL(9,T32:T134)</f>
        <v>332.66</v>
      </c>
      <c r="U166" s="410">
        <f>T166*100/P166</f>
        <v>95.895070625540498</v>
      </c>
    </row>
  </sheetData>
  <autoFilter ref="AM1:AM165" xr:uid="{00000000-0009-0000-0000-000009000000}">
    <filterColumn colId="0">
      <filters>
        <filter val="MIP"/>
      </filters>
    </filterColumn>
  </autoFilter>
  <mergeCells count="22">
    <mergeCell ref="AL19:AL20"/>
    <mergeCell ref="K137:L137"/>
    <mergeCell ref="J19:M19"/>
    <mergeCell ref="N19:P19"/>
    <mergeCell ref="Q19:S19"/>
    <mergeCell ref="T19:U19"/>
    <mergeCell ref="V19:X19"/>
    <mergeCell ref="Y19:AA19"/>
    <mergeCell ref="AB19:AD19"/>
    <mergeCell ref="AE19:AG19"/>
    <mergeCell ref="AH19:AI19"/>
    <mergeCell ref="AJ19:AK19"/>
    <mergeCell ref="A1:AL1"/>
    <mergeCell ref="A2:AL2"/>
    <mergeCell ref="A3:AL3"/>
    <mergeCell ref="A4:AL4"/>
    <mergeCell ref="AH6:AI6"/>
    <mergeCell ref="A19:A20"/>
    <mergeCell ref="B19:B20"/>
    <mergeCell ref="C19:C20"/>
    <mergeCell ref="D19:F19"/>
    <mergeCell ref="G19:I19"/>
  </mergeCells>
  <pageMargins left="0.3" right="0.2" top="0.25" bottom="0.45" header="0.2" footer="0.3"/>
  <pageSetup paperSize="9" scale="75"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AV166"/>
  <sheetViews>
    <sheetView view="pageBreakPreview" zoomScale="95" zoomScaleNormal="70" zoomScaleSheetLayoutView="95" workbookViewId="0">
      <selection activeCell="M182" sqref="M182"/>
    </sheetView>
  </sheetViews>
  <sheetFormatPr defaultRowHeight="12.75"/>
  <cols>
    <col min="1" max="1" width="11.28515625" customWidth="1"/>
    <col min="2" max="2" width="33.85546875" customWidth="1"/>
    <col min="3" max="3" width="10.140625" style="314" customWidth="1"/>
    <col min="4" max="9" width="9.7109375" hidden="1" customWidth="1"/>
    <col min="10" max="11" width="9.7109375" customWidth="1"/>
    <col min="12" max="12" width="9.7109375" style="324" customWidth="1"/>
    <col min="13" max="13" width="11.28515625" style="324" customWidth="1"/>
    <col min="14" max="21" width="9.7109375" customWidth="1"/>
    <col min="22" max="23" width="9.7109375" hidden="1" customWidth="1"/>
    <col min="24" max="24" width="9.7109375" style="71" hidden="1" customWidth="1"/>
    <col min="25" max="37" width="9.7109375" hidden="1" customWidth="1"/>
    <col min="38" max="38" width="17.7109375" customWidth="1"/>
  </cols>
  <sheetData>
    <row r="1" spans="1:38"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row>
    <row r="2" spans="1:38" s="220" customFormat="1" ht="32.450000000000003" hidden="1"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row>
    <row r="3" spans="1:38" s="220" customFormat="1" ht="32.450000000000003" hidden="1"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row>
    <row r="4" spans="1:38" s="220" customFormat="1" ht="27.6" hidden="1" customHeight="1">
      <c r="A4" s="613" t="s">
        <v>819</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row>
    <row r="5" spans="1:38" s="220" customFormat="1" ht="28.5" hidden="1">
      <c r="A5" s="265"/>
      <c r="B5" s="265"/>
      <c r="C5" s="265"/>
      <c r="D5" s="265"/>
      <c r="E5" s="265"/>
      <c r="F5" s="265"/>
      <c r="G5" s="265"/>
      <c r="H5" s="265"/>
      <c r="I5" s="265"/>
      <c r="J5" s="265"/>
      <c r="K5" s="265"/>
      <c r="L5" s="318"/>
      <c r="M5" s="318"/>
      <c r="N5" s="265"/>
      <c r="O5" s="263"/>
      <c r="P5" s="263"/>
      <c r="Q5" s="265"/>
      <c r="R5" s="265"/>
      <c r="S5" s="264"/>
      <c r="T5" s="264"/>
      <c r="U5" s="264"/>
      <c r="V5" s="264"/>
      <c r="W5" s="264"/>
      <c r="X5" s="264"/>
      <c r="Y5" s="264"/>
      <c r="Z5" s="264"/>
      <c r="AA5" s="264"/>
      <c r="AB5" s="264"/>
      <c r="AC5" s="264"/>
      <c r="AD5" s="264"/>
      <c r="AE5" s="264"/>
      <c r="AF5" s="264"/>
      <c r="AG5" s="264"/>
      <c r="AH5" s="265"/>
      <c r="AI5" s="265"/>
      <c r="AJ5" s="265"/>
      <c r="AK5" s="265"/>
      <c r="AL5" s="265"/>
    </row>
    <row r="6" spans="1:38" s="220" customFormat="1" ht="24" hidden="1">
      <c r="A6" s="266" t="s">
        <v>771</v>
      </c>
      <c r="B6" s="266"/>
      <c r="C6" s="309"/>
      <c r="D6" s="266"/>
      <c r="E6" s="266"/>
      <c r="F6" s="266"/>
      <c r="G6" s="266"/>
      <c r="H6" s="266"/>
      <c r="I6" s="266"/>
      <c r="J6" s="267"/>
      <c r="K6" s="267"/>
      <c r="L6" s="319"/>
      <c r="M6" s="319"/>
      <c r="N6" s="263"/>
      <c r="O6" s="263"/>
      <c r="P6" s="263"/>
      <c r="Q6" s="263"/>
      <c r="R6" s="263"/>
      <c r="S6" s="263"/>
      <c r="T6" s="263"/>
      <c r="U6" s="263"/>
      <c r="V6" s="266" t="s">
        <v>785</v>
      </c>
      <c r="W6" s="263"/>
      <c r="X6" s="267"/>
      <c r="Y6" s="268">
        <f>'एकिकृत बिवरण'!$J$13/100000-331.31</f>
        <v>600.97694000000001</v>
      </c>
      <c r="Z6" s="269"/>
      <c r="AA6" s="270">
        <v>331.31</v>
      </c>
      <c r="AB6" s="270"/>
      <c r="AC6" s="270"/>
      <c r="AD6" s="270"/>
      <c r="AE6" s="270"/>
      <c r="AF6" s="270"/>
      <c r="AG6" s="270"/>
      <c r="AH6" s="614">
        <f>Y6+AA6</f>
        <v>932.28693999999996</v>
      </c>
      <c r="AI6" s="614"/>
      <c r="AJ6" s="266"/>
      <c r="AK6" s="266"/>
    </row>
    <row r="7" spans="1:38" s="220" customFormat="1" ht="24" hidden="1">
      <c r="A7" s="271" t="s">
        <v>772</v>
      </c>
      <c r="B7" s="266"/>
      <c r="C7" s="309"/>
      <c r="D7" s="266"/>
      <c r="E7" s="266"/>
      <c r="F7" s="266"/>
      <c r="G7" s="266"/>
      <c r="H7" s="266"/>
      <c r="I7" s="266"/>
      <c r="J7" s="267"/>
      <c r="K7" s="267"/>
      <c r="L7" s="319"/>
      <c r="M7" s="319"/>
      <c r="N7" s="263"/>
      <c r="O7" s="263"/>
      <c r="P7" s="263"/>
      <c r="Q7" s="267"/>
      <c r="R7" s="267"/>
      <c r="S7" s="267"/>
      <c r="T7" s="267"/>
      <c r="U7" s="267"/>
      <c r="V7" s="273" t="s">
        <v>779</v>
      </c>
      <c r="W7" s="267"/>
      <c r="X7" s="267"/>
      <c r="Y7" s="267"/>
      <c r="Z7" s="267"/>
      <c r="AA7" s="266"/>
      <c r="AB7" s="266"/>
      <c r="AC7" s="266"/>
      <c r="AD7" s="266"/>
      <c r="AE7" s="266"/>
      <c r="AF7" s="266"/>
      <c r="AG7" s="266"/>
      <c r="AH7" s="266"/>
      <c r="AI7" s="266"/>
      <c r="AJ7" s="266"/>
      <c r="AK7" s="266"/>
    </row>
    <row r="8" spans="1:38" s="220" customFormat="1" ht="24" hidden="1">
      <c r="A8" s="266" t="s">
        <v>773</v>
      </c>
      <c r="B8" s="266"/>
      <c r="C8" s="309"/>
      <c r="D8" s="266"/>
      <c r="E8" s="266"/>
      <c r="F8" s="266"/>
      <c r="G8" s="266"/>
      <c r="H8" s="266"/>
      <c r="I8" s="266"/>
      <c r="J8" s="267"/>
      <c r="K8" s="267"/>
      <c r="L8" s="319"/>
      <c r="M8" s="319"/>
      <c r="N8" s="263"/>
      <c r="O8" s="263"/>
      <c r="P8" s="263"/>
      <c r="Q8" s="263"/>
      <c r="R8" s="263"/>
      <c r="V8" s="267" t="s">
        <v>786</v>
      </c>
      <c r="W8" s="263"/>
      <c r="X8" s="263"/>
      <c r="Y8" s="267"/>
      <c r="Z8" s="267"/>
      <c r="AA8" s="266"/>
      <c r="AB8" s="266"/>
      <c r="AC8" s="266"/>
      <c r="AD8" s="266"/>
      <c r="AE8" s="266"/>
      <c r="AF8" s="266"/>
      <c r="AG8" s="266"/>
      <c r="AH8" s="266"/>
      <c r="AI8" s="266"/>
      <c r="AJ8" s="266"/>
      <c r="AK8" s="266"/>
    </row>
    <row r="9" spans="1:38" s="220" customFormat="1" ht="24" hidden="1">
      <c r="A9" s="266" t="s">
        <v>774</v>
      </c>
      <c r="B9" s="266"/>
      <c r="C9" s="309"/>
      <c r="D9" s="266"/>
      <c r="E9" s="266"/>
      <c r="F9" s="266"/>
      <c r="G9" s="266"/>
      <c r="H9" s="266"/>
      <c r="I9" s="266"/>
      <c r="J9" s="267"/>
      <c r="K9" s="267"/>
      <c r="L9" s="319"/>
      <c r="M9" s="319"/>
      <c r="N9" s="263"/>
      <c r="O9" s="267"/>
      <c r="P9" s="263"/>
      <c r="Q9" s="267"/>
      <c r="R9" s="267"/>
      <c r="S9" s="267"/>
      <c r="T9" s="267"/>
      <c r="U9" s="267"/>
      <c r="V9" s="267"/>
      <c r="W9" s="267"/>
      <c r="X9" s="267"/>
      <c r="Y9" s="267"/>
      <c r="Z9" s="267"/>
      <c r="AA9" s="266"/>
      <c r="AB9" s="266"/>
      <c r="AC9" s="266"/>
      <c r="AD9" s="266"/>
      <c r="AE9" s="266"/>
      <c r="AF9" s="266"/>
      <c r="AG9" s="266"/>
      <c r="AH9" s="266"/>
      <c r="AI9" s="266"/>
      <c r="AJ9" s="266"/>
      <c r="AK9" s="266"/>
    </row>
    <row r="10" spans="1:38" s="220" customFormat="1" ht="24" hidden="1">
      <c r="A10" s="266" t="s">
        <v>775</v>
      </c>
      <c r="B10" s="266"/>
      <c r="C10" s="309"/>
      <c r="D10" s="266"/>
      <c r="E10" s="266"/>
      <c r="F10" s="266"/>
      <c r="G10" s="266"/>
      <c r="H10" s="266"/>
      <c r="I10" s="266"/>
      <c r="J10" s="267"/>
      <c r="K10" s="267"/>
      <c r="L10" s="319"/>
      <c r="M10" s="319"/>
      <c r="N10" s="263"/>
      <c r="O10" s="263"/>
      <c r="P10" s="263"/>
      <c r="Q10" s="263"/>
      <c r="R10" s="263"/>
      <c r="S10" s="267"/>
      <c r="T10" s="267"/>
      <c r="U10" s="267"/>
      <c r="W10" s="267" t="s">
        <v>793</v>
      </c>
      <c r="Y10" s="267"/>
      <c r="Z10" s="267"/>
      <c r="AA10" s="266"/>
      <c r="AB10" s="266"/>
      <c r="AC10" s="266"/>
      <c r="AD10" s="266"/>
      <c r="AE10" s="266"/>
      <c r="AF10" s="266"/>
      <c r="AG10" s="266"/>
      <c r="AH10" s="266"/>
      <c r="AI10" s="266"/>
      <c r="AJ10" s="266"/>
      <c r="AK10" s="266"/>
    </row>
    <row r="11" spans="1:38" s="220" customFormat="1" ht="24" hidden="1">
      <c r="A11" s="266" t="s">
        <v>776</v>
      </c>
      <c r="B11" s="266"/>
      <c r="C11" s="309"/>
      <c r="D11" s="266"/>
      <c r="E11" s="266"/>
      <c r="F11" s="266"/>
      <c r="G11" s="266"/>
      <c r="H11" s="266"/>
      <c r="I11" s="266"/>
      <c r="J11" s="267"/>
      <c r="K11" s="267"/>
      <c r="L11" s="319"/>
      <c r="M11" s="319"/>
      <c r="N11" s="263"/>
      <c r="O11" s="267"/>
      <c r="P11" s="263"/>
      <c r="Q11" s="267"/>
      <c r="R11" s="267"/>
      <c r="S11" s="267"/>
      <c r="T11" s="267"/>
      <c r="U11" s="267"/>
      <c r="V11" s="267"/>
      <c r="W11" s="267"/>
      <c r="X11" s="267"/>
      <c r="Y11" s="267"/>
      <c r="Z11" s="267"/>
      <c r="AA11" s="266"/>
      <c r="AB11" s="266"/>
      <c r="AC11" s="266"/>
      <c r="AD11" s="266"/>
      <c r="AE11" s="266"/>
      <c r="AF11" s="266"/>
      <c r="AG11" s="266"/>
      <c r="AH11" s="266"/>
      <c r="AI11" s="266"/>
      <c r="AJ11" s="266"/>
      <c r="AK11" s="266"/>
    </row>
    <row r="12" spans="1:38" s="220" customFormat="1" ht="24" hidden="1">
      <c r="A12" s="266" t="s">
        <v>777</v>
      </c>
      <c r="B12" s="266"/>
      <c r="C12" s="309"/>
      <c r="D12" s="266"/>
      <c r="E12" s="266"/>
      <c r="F12" s="266"/>
      <c r="G12" s="266"/>
      <c r="H12" s="266"/>
      <c r="I12" s="266"/>
      <c r="J12" s="267"/>
      <c r="K12" s="267"/>
      <c r="L12" s="319"/>
      <c r="M12" s="319"/>
      <c r="N12" s="263"/>
      <c r="O12" s="263"/>
      <c r="P12" s="263"/>
      <c r="Q12" s="263"/>
      <c r="R12" s="263"/>
      <c r="S12" s="267"/>
      <c r="T12" s="267"/>
      <c r="U12" s="267"/>
      <c r="V12" s="267" t="s">
        <v>787</v>
      </c>
      <c r="W12" s="263"/>
      <c r="X12" s="267"/>
      <c r="Y12" s="267"/>
      <c r="Z12" s="267"/>
      <c r="AA12" s="266"/>
      <c r="AB12" s="266"/>
      <c r="AC12" s="266"/>
      <c r="AD12" s="266"/>
      <c r="AE12" s="266"/>
      <c r="AF12" s="266"/>
      <c r="AG12" s="266"/>
      <c r="AH12" s="266"/>
      <c r="AI12" s="266"/>
      <c r="AJ12" s="266"/>
      <c r="AK12" s="266"/>
    </row>
    <row r="13" spans="1:38" s="220" customFormat="1" ht="24" hidden="1">
      <c r="A13" s="266" t="s">
        <v>778</v>
      </c>
      <c r="B13" s="266"/>
      <c r="C13" s="310"/>
      <c r="D13" s="272"/>
      <c r="E13" s="272"/>
      <c r="F13" s="272"/>
      <c r="G13" s="272"/>
      <c r="H13" s="272"/>
      <c r="I13" s="272"/>
      <c r="J13" s="267"/>
      <c r="K13" s="267"/>
      <c r="L13" s="319"/>
      <c r="M13" s="319"/>
      <c r="N13" s="263"/>
      <c r="O13" s="263"/>
      <c r="P13" s="263"/>
      <c r="Q13" s="263"/>
      <c r="R13" s="263"/>
      <c r="S13" s="267"/>
      <c r="T13" s="267"/>
      <c r="U13" s="267"/>
      <c r="V13" s="267" t="s">
        <v>788</v>
      </c>
      <c r="W13" s="263"/>
      <c r="X13" s="267"/>
      <c r="Y13" s="267"/>
      <c r="Z13" s="267"/>
      <c r="AA13" s="266"/>
      <c r="AB13" s="266"/>
      <c r="AC13" s="266"/>
      <c r="AD13" s="266"/>
      <c r="AE13" s="266"/>
      <c r="AF13" s="266"/>
      <c r="AG13" s="266"/>
      <c r="AH13" s="266"/>
      <c r="AI13" s="266"/>
      <c r="AJ13" s="266"/>
      <c r="AK13" s="266"/>
    </row>
    <row r="14" spans="1:38" s="220" customFormat="1" ht="24" hidden="1">
      <c r="A14" s="273" t="s">
        <v>779</v>
      </c>
      <c r="B14" s="266"/>
      <c r="C14" s="310"/>
      <c r="D14" s="272"/>
      <c r="E14" s="272"/>
      <c r="F14" s="272"/>
      <c r="G14" s="272"/>
      <c r="H14" s="272"/>
      <c r="I14" s="272"/>
      <c r="J14" s="267"/>
      <c r="K14" s="267"/>
      <c r="L14" s="319"/>
      <c r="M14" s="319"/>
      <c r="N14" s="263"/>
      <c r="O14" s="263"/>
      <c r="P14" s="263"/>
      <c r="Q14" s="267"/>
      <c r="R14" s="267"/>
      <c r="S14" s="267"/>
      <c r="T14" s="267"/>
      <c r="U14" s="267"/>
      <c r="V14" s="267" t="s">
        <v>789</v>
      </c>
      <c r="W14" s="267"/>
      <c r="X14" s="267"/>
      <c r="Y14" s="267"/>
      <c r="Z14" s="267"/>
      <c r="AA14" s="266"/>
      <c r="AB14" s="266"/>
      <c r="AC14" s="266"/>
      <c r="AD14" s="266"/>
      <c r="AE14" s="266"/>
      <c r="AF14" s="266"/>
      <c r="AG14" s="266"/>
      <c r="AH14" s="266"/>
      <c r="AI14" s="266"/>
      <c r="AJ14" s="266"/>
      <c r="AL14" s="274" t="e">
        <f>Y6/#REF!*100</f>
        <v>#REF!</v>
      </c>
    </row>
    <row r="15" spans="1:38" s="220" customFormat="1" ht="24" hidden="1">
      <c r="A15" s="266" t="s">
        <v>780</v>
      </c>
      <c r="B15" s="266"/>
      <c r="C15" s="309"/>
      <c r="D15" s="266"/>
      <c r="E15" s="266"/>
      <c r="F15" s="266"/>
      <c r="G15" s="266"/>
      <c r="H15" s="266"/>
      <c r="I15" s="266"/>
      <c r="J15" s="267"/>
      <c r="K15" s="267"/>
      <c r="L15" s="319"/>
      <c r="M15" s="319"/>
      <c r="N15" s="263"/>
      <c r="O15" s="263"/>
      <c r="P15" s="263"/>
      <c r="Q15" s="267"/>
      <c r="R15" s="267"/>
      <c r="S15" s="267"/>
      <c r="T15" s="267"/>
      <c r="U15" s="267"/>
      <c r="V15" s="267" t="s">
        <v>790</v>
      </c>
      <c r="W15" s="267"/>
      <c r="X15" s="267"/>
      <c r="Y15" s="267"/>
      <c r="Z15" s="267"/>
      <c r="AA15" s="266"/>
      <c r="AB15" s="266"/>
      <c r="AC15" s="266"/>
      <c r="AD15" s="266"/>
      <c r="AE15" s="266"/>
      <c r="AF15" s="266"/>
      <c r="AG15" s="266"/>
      <c r="AH15" s="266"/>
      <c r="AI15" s="266"/>
      <c r="AJ15" s="266"/>
      <c r="AL15" s="275">
        <f>AH6/L136*100</f>
        <v>66.119641134751788</v>
      </c>
    </row>
    <row r="16" spans="1:38" s="220" customFormat="1" ht="24" hidden="1">
      <c r="A16" s="266" t="s">
        <v>781</v>
      </c>
      <c r="B16" s="266"/>
      <c r="C16" s="309"/>
      <c r="D16" s="266"/>
      <c r="E16" s="266"/>
      <c r="F16" s="266"/>
      <c r="G16" s="266"/>
      <c r="H16" s="266"/>
      <c r="I16" s="266"/>
      <c r="J16" s="267"/>
      <c r="K16" s="267"/>
      <c r="L16" s="319"/>
      <c r="M16" s="319"/>
      <c r="N16" s="263"/>
      <c r="O16" s="263"/>
      <c r="P16" s="263"/>
      <c r="Q16" s="267"/>
      <c r="R16" s="267"/>
      <c r="S16" s="267"/>
      <c r="T16" s="267"/>
      <c r="U16" s="267"/>
      <c r="V16" s="267" t="s">
        <v>791</v>
      </c>
      <c r="W16" s="267"/>
      <c r="X16" s="267"/>
      <c r="Y16" s="267"/>
      <c r="Z16" s="267"/>
      <c r="AA16" s="266"/>
      <c r="AB16" s="266"/>
      <c r="AC16" s="266"/>
      <c r="AD16" s="266"/>
      <c r="AE16" s="266"/>
      <c r="AF16" s="266"/>
      <c r="AG16" s="266"/>
      <c r="AH16" s="266"/>
      <c r="AI16" s="266"/>
      <c r="AJ16" s="266"/>
      <c r="AK16" s="266"/>
      <c r="AL16" s="266"/>
    </row>
    <row r="17" spans="1:48" s="220" customFormat="1" ht="24" hidden="1">
      <c r="A17" s="266" t="s">
        <v>782</v>
      </c>
      <c r="B17" s="266"/>
      <c r="C17" s="309"/>
      <c r="D17" s="266"/>
      <c r="E17" s="266"/>
      <c r="F17" s="266"/>
      <c r="G17" s="266"/>
      <c r="H17" s="266"/>
      <c r="I17" s="266"/>
      <c r="J17" s="267"/>
      <c r="K17" s="267"/>
      <c r="L17" s="319"/>
      <c r="M17" s="319"/>
      <c r="N17" s="263"/>
      <c r="O17" s="263"/>
      <c r="P17" s="263"/>
      <c r="Q17" s="267"/>
      <c r="R17" s="267"/>
      <c r="S17" s="267"/>
      <c r="T17" s="267"/>
      <c r="U17" s="267"/>
      <c r="V17" s="267" t="s">
        <v>792</v>
      </c>
      <c r="W17" s="267"/>
      <c r="X17" s="267"/>
      <c r="Y17" s="267"/>
      <c r="Z17" s="267"/>
      <c r="AA17" s="266"/>
      <c r="AB17" s="266"/>
      <c r="AC17" s="266"/>
      <c r="AD17" s="266"/>
      <c r="AE17" s="266"/>
      <c r="AF17" s="266"/>
      <c r="AG17" s="266"/>
      <c r="AH17" s="266"/>
      <c r="AI17" s="266"/>
      <c r="AJ17" s="266"/>
      <c r="AL17" s="276">
        <f>AI136</f>
        <v>3.410283687943263</v>
      </c>
    </row>
    <row r="18" spans="1:48" s="220" customFormat="1" ht="24" hidden="1">
      <c r="A18" s="266" t="s">
        <v>806</v>
      </c>
      <c r="B18" s="266"/>
      <c r="C18" s="309"/>
      <c r="D18" s="266"/>
      <c r="E18" s="266"/>
      <c r="F18" s="266"/>
      <c r="G18" s="266"/>
      <c r="H18" s="266"/>
      <c r="I18" s="266"/>
      <c r="J18" s="267"/>
      <c r="K18" s="267"/>
      <c r="L18" s="319"/>
      <c r="M18" s="319"/>
      <c r="N18" s="267"/>
      <c r="O18" s="267"/>
      <c r="P18" s="267"/>
      <c r="Q18" s="267"/>
      <c r="R18" s="267"/>
      <c r="S18" s="267"/>
      <c r="T18" s="344" t="s">
        <v>811</v>
      </c>
      <c r="U18" s="345">
        <f>T135</f>
        <v>683.29</v>
      </c>
      <c r="V18" s="267"/>
      <c r="W18" s="267"/>
      <c r="X18" s="267"/>
      <c r="Y18" s="267"/>
      <c r="Z18" s="267"/>
      <c r="AA18" s="266"/>
      <c r="AB18" s="266"/>
      <c r="AC18" s="266"/>
      <c r="AD18" s="266"/>
      <c r="AE18" s="266"/>
      <c r="AF18" s="266"/>
      <c r="AG18" s="266"/>
      <c r="AH18" s="266"/>
      <c r="AI18" s="266"/>
      <c r="AJ18" s="330" t="s">
        <v>802</v>
      </c>
      <c r="AK18" s="266"/>
    </row>
    <row r="19" spans="1:48" s="220" customFormat="1" ht="45.6" hidden="1" customHeight="1">
      <c r="A19" s="621" t="s">
        <v>752</v>
      </c>
      <c r="B19" s="621" t="s">
        <v>753</v>
      </c>
      <c r="C19" s="611" t="s">
        <v>754</v>
      </c>
      <c r="D19" s="611" t="s">
        <v>755</v>
      </c>
      <c r="E19" s="611"/>
      <c r="F19" s="611"/>
      <c r="G19" s="611" t="s">
        <v>759</v>
      </c>
      <c r="H19" s="611"/>
      <c r="I19" s="611"/>
      <c r="J19" s="622" t="s">
        <v>760</v>
      </c>
      <c r="K19" s="623"/>
      <c r="L19" s="623"/>
      <c r="M19" s="624"/>
      <c r="N19" s="611" t="s">
        <v>815</v>
      </c>
      <c r="O19" s="626"/>
      <c r="P19" s="627"/>
      <c r="Q19" s="611" t="s">
        <v>816</v>
      </c>
      <c r="R19" s="611"/>
      <c r="S19" s="611"/>
      <c r="T19" s="611" t="s">
        <v>817</v>
      </c>
      <c r="U19" s="611"/>
      <c r="V19" s="621" t="s">
        <v>764</v>
      </c>
      <c r="W19" s="621"/>
      <c r="X19" s="621"/>
      <c r="Y19" s="611" t="s">
        <v>765</v>
      </c>
      <c r="Z19" s="611"/>
      <c r="AA19" s="611"/>
      <c r="AB19" s="611" t="s">
        <v>767</v>
      </c>
      <c r="AC19" s="611"/>
      <c r="AD19" s="611"/>
      <c r="AE19" s="611" t="s">
        <v>766</v>
      </c>
      <c r="AF19" s="611"/>
      <c r="AG19" s="611"/>
      <c r="AH19" s="618" t="s">
        <v>768</v>
      </c>
      <c r="AI19" s="618"/>
      <c r="AJ19" s="618" t="s">
        <v>769</v>
      </c>
      <c r="AK19" s="618"/>
      <c r="AL19" s="621" t="s">
        <v>497</v>
      </c>
    </row>
    <row r="20" spans="1:48" s="220" customFormat="1" ht="28.5" hidden="1" customHeight="1">
      <c r="A20" s="621"/>
      <c r="B20" s="621"/>
      <c r="C20" s="611"/>
      <c r="D20" s="349" t="s">
        <v>761</v>
      </c>
      <c r="E20" s="349" t="s">
        <v>757</v>
      </c>
      <c r="F20" s="349" t="s">
        <v>758</v>
      </c>
      <c r="G20" s="349" t="s">
        <v>761</v>
      </c>
      <c r="H20" s="349" t="s">
        <v>757</v>
      </c>
      <c r="I20" s="349" t="s">
        <v>758</v>
      </c>
      <c r="J20" s="349" t="s">
        <v>761</v>
      </c>
      <c r="K20" s="349" t="s">
        <v>757</v>
      </c>
      <c r="L20" s="335" t="s">
        <v>758</v>
      </c>
      <c r="M20" s="335" t="s">
        <v>814</v>
      </c>
      <c r="N20" s="349" t="s">
        <v>761</v>
      </c>
      <c r="O20" s="349" t="s">
        <v>757</v>
      </c>
      <c r="P20" s="349" t="s">
        <v>758</v>
      </c>
      <c r="Q20" s="349" t="s">
        <v>761</v>
      </c>
      <c r="R20" s="349" t="s">
        <v>757</v>
      </c>
      <c r="S20" s="349" t="s">
        <v>805</v>
      </c>
      <c r="T20" s="349" t="s">
        <v>804</v>
      </c>
      <c r="U20" s="349" t="s">
        <v>805</v>
      </c>
      <c r="V20" s="349" t="s">
        <v>761</v>
      </c>
      <c r="W20" s="349" t="s">
        <v>757</v>
      </c>
      <c r="X20" s="349" t="s">
        <v>758</v>
      </c>
      <c r="Y20" s="349" t="s">
        <v>761</v>
      </c>
      <c r="Z20" s="349" t="s">
        <v>757</v>
      </c>
      <c r="AA20" s="349" t="s">
        <v>758</v>
      </c>
      <c r="AB20" s="349"/>
      <c r="AC20" s="349"/>
      <c r="AD20" s="349"/>
      <c r="AE20" s="349"/>
      <c r="AF20" s="349"/>
      <c r="AG20" s="349"/>
      <c r="AH20" s="336"/>
      <c r="AI20" s="336"/>
      <c r="AJ20" s="348"/>
      <c r="AK20" s="337"/>
      <c r="AL20" s="621"/>
    </row>
    <row r="21" spans="1:48" s="220" customFormat="1" ht="19.5" hidden="1">
      <c r="A21" s="278">
        <v>1</v>
      </c>
      <c r="B21" s="278">
        <v>2</v>
      </c>
      <c r="C21" s="278">
        <v>3</v>
      </c>
      <c r="D21" s="278">
        <v>4</v>
      </c>
      <c r="E21" s="278">
        <v>5</v>
      </c>
      <c r="F21" s="278">
        <v>6</v>
      </c>
      <c r="G21" s="278">
        <v>7</v>
      </c>
      <c r="H21" s="278">
        <v>8</v>
      </c>
      <c r="I21" s="278">
        <v>9</v>
      </c>
      <c r="J21" s="347">
        <v>4</v>
      </c>
      <c r="K21" s="278">
        <v>5</v>
      </c>
      <c r="L21" s="278">
        <v>6</v>
      </c>
      <c r="M21" s="278"/>
      <c r="N21" s="278">
        <v>7</v>
      </c>
      <c r="O21" s="278">
        <v>8</v>
      </c>
      <c r="P21" s="278">
        <v>9</v>
      </c>
      <c r="Q21" s="278">
        <v>10</v>
      </c>
      <c r="R21" s="278">
        <v>11</v>
      </c>
      <c r="S21" s="347">
        <v>12</v>
      </c>
      <c r="T21" s="278">
        <v>13</v>
      </c>
      <c r="U21" s="278">
        <v>14</v>
      </c>
      <c r="V21" s="278">
        <v>13</v>
      </c>
      <c r="W21" s="278">
        <v>13.5</v>
      </c>
      <c r="X21" s="278">
        <v>14</v>
      </c>
      <c r="Y21" s="278">
        <v>14.5</v>
      </c>
      <c r="Z21" s="278">
        <v>15</v>
      </c>
      <c r="AA21" s="347">
        <v>15.5</v>
      </c>
      <c r="AB21" s="278">
        <v>16</v>
      </c>
      <c r="AC21" s="278">
        <v>16.5</v>
      </c>
      <c r="AD21" s="278">
        <v>17</v>
      </c>
      <c r="AE21" s="278">
        <v>17.5</v>
      </c>
      <c r="AF21" s="278">
        <v>18</v>
      </c>
      <c r="AG21" s="278">
        <v>18.5</v>
      </c>
      <c r="AH21" s="278">
        <v>19</v>
      </c>
      <c r="AI21" s="347">
        <v>19.5</v>
      </c>
      <c r="AJ21" s="278">
        <v>20</v>
      </c>
      <c r="AK21" s="278">
        <v>20.5</v>
      </c>
      <c r="AL21" s="278">
        <v>15</v>
      </c>
    </row>
    <row r="22" spans="1:48" s="350" customFormat="1" ht="13.15" hidden="1" customHeight="1">
      <c r="A22" s="301" t="s">
        <v>511</v>
      </c>
      <c r="B22" s="301" t="s">
        <v>602</v>
      </c>
      <c r="C22" s="282" t="s">
        <v>794</v>
      </c>
      <c r="D22" s="282"/>
      <c r="E22" s="282"/>
      <c r="F22" s="282"/>
      <c r="G22" s="282"/>
      <c r="H22" s="282"/>
      <c r="I22" s="282"/>
      <c r="J22" s="367">
        <v>1</v>
      </c>
      <c r="K22" s="368">
        <f>(L22/$L$135)*100</f>
        <v>3.191489361702128</v>
      </c>
      <c r="L22" s="368">
        <v>45</v>
      </c>
      <c r="M22" s="368">
        <v>0</v>
      </c>
      <c r="N22" s="367">
        <f>J22</f>
        <v>1</v>
      </c>
      <c r="O22" s="368">
        <f>P22/$P$136*100</f>
        <v>0</v>
      </c>
      <c r="P22" s="368">
        <f>M22</f>
        <v>0</v>
      </c>
      <c r="Q22" s="367">
        <v>0.1</v>
      </c>
      <c r="R22" s="368">
        <f t="shared" ref="R22:R85" si="0">IF(N22=0,Q22/J22*K22,Q22/N22*O22)</f>
        <v>0</v>
      </c>
      <c r="S22" s="367">
        <f t="shared" ref="S22:S30" si="1">ROUND(IF(O22=0,R22/K22*100,R22/O22*100),2)</f>
        <v>0</v>
      </c>
      <c r="T22" s="367">
        <v>0</v>
      </c>
      <c r="U22" s="367">
        <f>IFERROR(T22/P22*100,0)</f>
        <v>0</v>
      </c>
      <c r="V22" s="367"/>
      <c r="W22" s="367"/>
      <c r="X22" s="367"/>
      <c r="Y22" s="367"/>
      <c r="Z22" s="367"/>
      <c r="AA22" s="367"/>
      <c r="AB22" s="367"/>
      <c r="AC22" s="367"/>
      <c r="AD22" s="367"/>
      <c r="AE22" s="367"/>
      <c r="AF22" s="367"/>
      <c r="AG22" s="367"/>
      <c r="AH22" s="367"/>
      <c r="AI22" s="367"/>
      <c r="AJ22" s="367"/>
      <c r="AK22" s="367"/>
      <c r="AL22" s="405"/>
      <c r="AM22" s="263"/>
      <c r="AN22" s="263"/>
      <c r="AO22" s="263"/>
      <c r="AP22" s="263"/>
      <c r="AQ22" s="263"/>
      <c r="AR22" s="263"/>
      <c r="AS22" s="263"/>
      <c r="AT22" s="263"/>
      <c r="AU22" s="263"/>
      <c r="AV22" s="263"/>
    </row>
    <row r="23" spans="1:48" s="350" customFormat="1" ht="39" hidden="1">
      <c r="A23" s="304" t="s">
        <v>517</v>
      </c>
      <c r="B23" s="380" t="s">
        <v>603</v>
      </c>
      <c r="C23" s="284" t="s">
        <v>795</v>
      </c>
      <c r="D23" s="284"/>
      <c r="E23" s="284"/>
      <c r="F23" s="284"/>
      <c r="G23" s="284"/>
      <c r="H23" s="284"/>
      <c r="I23" s="284"/>
      <c r="J23" s="366">
        <v>20</v>
      </c>
      <c r="K23" s="370">
        <f>(L23/$L$135)*100</f>
        <v>10.638297872340427</v>
      </c>
      <c r="L23" s="370">
        <v>150</v>
      </c>
      <c r="M23" s="370">
        <v>106.5</v>
      </c>
      <c r="N23" s="366">
        <f t="shared" ref="N23:N86" si="2">J23</f>
        <v>20</v>
      </c>
      <c r="O23" s="370">
        <f t="shared" ref="O23:O86" si="3">P23/$P$136*100</f>
        <v>15.106382978723406</v>
      </c>
      <c r="P23" s="370">
        <f t="shared" ref="P23:P86" si="4">M23</f>
        <v>106.5</v>
      </c>
      <c r="Q23" s="366">
        <v>20</v>
      </c>
      <c r="R23" s="370">
        <f t="shared" si="0"/>
        <v>15.106382978723406</v>
      </c>
      <c r="S23" s="366">
        <f t="shared" si="1"/>
        <v>100</v>
      </c>
      <c r="T23" s="366">
        <v>105.39</v>
      </c>
      <c r="U23" s="370">
        <f t="shared" ref="U23:U86" si="5">IFERROR(T23/P23*100,0)</f>
        <v>98.957746478873247</v>
      </c>
      <c r="V23" s="366"/>
      <c r="W23" s="366"/>
      <c r="X23" s="366"/>
      <c r="Y23" s="366"/>
      <c r="Z23" s="366"/>
      <c r="AA23" s="366"/>
      <c r="AB23" s="366"/>
      <c r="AC23" s="366"/>
      <c r="AD23" s="366"/>
      <c r="AE23" s="366"/>
      <c r="AF23" s="366"/>
      <c r="AG23" s="366"/>
      <c r="AH23" s="366"/>
      <c r="AI23" s="366"/>
      <c r="AJ23" s="366"/>
      <c r="AK23" s="366"/>
      <c r="AL23" s="360"/>
      <c r="AM23" s="263" t="s">
        <v>821</v>
      </c>
      <c r="AN23" s="263"/>
      <c r="AO23" s="263"/>
      <c r="AP23" s="263"/>
      <c r="AQ23" s="263"/>
      <c r="AR23" s="263"/>
      <c r="AS23" s="263"/>
      <c r="AT23" s="263"/>
      <c r="AU23" s="263"/>
      <c r="AV23" s="263"/>
    </row>
    <row r="24" spans="1:48" s="350" customFormat="1" ht="39" hidden="1">
      <c r="A24" s="304" t="s">
        <v>232</v>
      </c>
      <c r="B24" s="304" t="s">
        <v>604</v>
      </c>
      <c r="C24" s="284" t="s">
        <v>794</v>
      </c>
      <c r="D24" s="284"/>
      <c r="E24" s="284"/>
      <c r="F24" s="284"/>
      <c r="G24" s="284"/>
      <c r="H24" s="284"/>
      <c r="I24" s="284"/>
      <c r="J24" s="366">
        <v>3.4</v>
      </c>
      <c r="K24" s="370">
        <f t="shared" ref="K24:K87" si="6">(L24/$L$135)*100</f>
        <v>7.0921985815602842</v>
      </c>
      <c r="L24" s="370">
        <v>100</v>
      </c>
      <c r="M24" s="370">
        <v>80</v>
      </c>
      <c r="N24" s="366">
        <f t="shared" si="2"/>
        <v>3.4</v>
      </c>
      <c r="O24" s="370">
        <f t="shared" si="3"/>
        <v>11.347517730496456</v>
      </c>
      <c r="P24" s="370">
        <f t="shared" si="4"/>
        <v>80</v>
      </c>
      <c r="Q24" s="366">
        <f t="shared" ref="Q24:Q87" si="7">J24</f>
        <v>3.4</v>
      </c>
      <c r="R24" s="370">
        <f t="shared" si="0"/>
        <v>11.347517730496456</v>
      </c>
      <c r="S24" s="366">
        <f t="shared" si="1"/>
        <v>100</v>
      </c>
      <c r="T24" s="366">
        <v>79.58</v>
      </c>
      <c r="U24" s="370">
        <f t="shared" si="5"/>
        <v>99.475000000000009</v>
      </c>
      <c r="V24" s="366"/>
      <c r="W24" s="366"/>
      <c r="X24" s="366"/>
      <c r="Y24" s="366"/>
      <c r="Z24" s="366"/>
      <c r="AA24" s="366"/>
      <c r="AB24" s="366"/>
      <c r="AC24" s="366"/>
      <c r="AD24" s="366"/>
      <c r="AE24" s="366"/>
      <c r="AF24" s="366"/>
      <c r="AG24" s="366"/>
      <c r="AH24" s="366"/>
      <c r="AI24" s="366"/>
      <c r="AJ24" s="366"/>
      <c r="AK24" s="366"/>
      <c r="AL24" s="360"/>
      <c r="AM24" s="263" t="s">
        <v>822</v>
      </c>
      <c r="AN24" s="263"/>
      <c r="AO24" s="263"/>
      <c r="AP24" s="263"/>
      <c r="AQ24" s="263"/>
      <c r="AR24" s="263"/>
      <c r="AS24" s="263"/>
      <c r="AT24" s="263"/>
      <c r="AU24" s="263"/>
      <c r="AV24" s="263"/>
    </row>
    <row r="25" spans="1:48" s="350" customFormat="1" ht="39" hidden="1">
      <c r="A25" s="304" t="s">
        <v>234</v>
      </c>
      <c r="B25" s="304" t="s">
        <v>605</v>
      </c>
      <c r="C25" s="284" t="s">
        <v>794</v>
      </c>
      <c r="D25" s="284"/>
      <c r="E25" s="284"/>
      <c r="F25" s="284"/>
      <c r="G25" s="284"/>
      <c r="H25" s="284"/>
      <c r="I25" s="284"/>
      <c r="J25" s="366">
        <v>2.96</v>
      </c>
      <c r="K25" s="370">
        <f t="shared" si="6"/>
        <v>4.255319148936171</v>
      </c>
      <c r="L25" s="370">
        <v>60</v>
      </c>
      <c r="M25" s="370">
        <v>40</v>
      </c>
      <c r="N25" s="366">
        <f t="shared" si="2"/>
        <v>2.96</v>
      </c>
      <c r="O25" s="370">
        <f t="shared" si="3"/>
        <v>5.673758865248228</v>
      </c>
      <c r="P25" s="370">
        <f t="shared" si="4"/>
        <v>40</v>
      </c>
      <c r="Q25" s="366">
        <f t="shared" si="7"/>
        <v>2.96</v>
      </c>
      <c r="R25" s="370">
        <f t="shared" si="0"/>
        <v>5.673758865248228</v>
      </c>
      <c r="S25" s="366">
        <f t="shared" si="1"/>
        <v>100</v>
      </c>
      <c r="T25" s="366">
        <v>39.479999999999997</v>
      </c>
      <c r="U25" s="370">
        <f t="shared" si="5"/>
        <v>98.699999999999989</v>
      </c>
      <c r="V25" s="366"/>
      <c r="W25" s="366"/>
      <c r="X25" s="366"/>
      <c r="Y25" s="366"/>
      <c r="Z25" s="366"/>
      <c r="AA25" s="366"/>
      <c r="AB25" s="366"/>
      <c r="AC25" s="366"/>
      <c r="AD25" s="366"/>
      <c r="AE25" s="366"/>
      <c r="AF25" s="366"/>
      <c r="AG25" s="366"/>
      <c r="AH25" s="366"/>
      <c r="AI25" s="366"/>
      <c r="AJ25" s="366"/>
      <c r="AK25" s="366"/>
      <c r="AL25" s="360"/>
      <c r="AM25" s="263" t="s">
        <v>822</v>
      </c>
      <c r="AN25" s="263"/>
      <c r="AO25" s="263"/>
      <c r="AP25" s="263"/>
      <c r="AQ25" s="263"/>
      <c r="AR25" s="263"/>
      <c r="AS25" s="263"/>
      <c r="AT25" s="263"/>
      <c r="AU25" s="263"/>
      <c r="AV25" s="263"/>
    </row>
    <row r="26" spans="1:48" s="350" customFormat="1" ht="58.5" hidden="1">
      <c r="A26" s="304" t="s">
        <v>240</v>
      </c>
      <c r="B26" s="304" t="s">
        <v>606</v>
      </c>
      <c r="C26" s="284" t="s">
        <v>794</v>
      </c>
      <c r="D26" s="284"/>
      <c r="E26" s="284"/>
      <c r="F26" s="284"/>
      <c r="G26" s="284"/>
      <c r="H26" s="284"/>
      <c r="I26" s="284"/>
      <c r="J26" s="366">
        <v>1</v>
      </c>
      <c r="K26" s="370">
        <f t="shared" si="6"/>
        <v>0.35460992907801425</v>
      </c>
      <c r="L26" s="370">
        <v>5</v>
      </c>
      <c r="M26" s="370">
        <v>5</v>
      </c>
      <c r="N26" s="366">
        <f t="shared" si="2"/>
        <v>1</v>
      </c>
      <c r="O26" s="370">
        <f t="shared" si="3"/>
        <v>0.7092198581560285</v>
      </c>
      <c r="P26" s="370">
        <f t="shared" si="4"/>
        <v>5</v>
      </c>
      <c r="Q26" s="366">
        <f t="shared" si="7"/>
        <v>1</v>
      </c>
      <c r="R26" s="370">
        <f t="shared" si="0"/>
        <v>0.7092198581560285</v>
      </c>
      <c r="S26" s="366">
        <f t="shared" si="1"/>
        <v>100</v>
      </c>
      <c r="T26" s="366">
        <v>4.99</v>
      </c>
      <c r="U26" s="370">
        <f>IFERROR(T26/L26*100,0)</f>
        <v>99.8</v>
      </c>
      <c r="V26" s="366"/>
      <c r="W26" s="366"/>
      <c r="X26" s="366"/>
      <c r="Y26" s="366"/>
      <c r="Z26" s="366"/>
      <c r="AA26" s="366"/>
      <c r="AB26" s="366"/>
      <c r="AC26" s="366"/>
      <c r="AD26" s="366"/>
      <c r="AE26" s="366"/>
      <c r="AF26" s="366"/>
      <c r="AG26" s="366"/>
      <c r="AH26" s="366"/>
      <c r="AI26" s="366"/>
      <c r="AJ26" s="366"/>
      <c r="AK26" s="366"/>
      <c r="AL26" s="360"/>
      <c r="AM26" s="263" t="s">
        <v>822</v>
      </c>
      <c r="AN26" s="263"/>
      <c r="AO26" s="263"/>
      <c r="AP26" s="263"/>
      <c r="AQ26" s="263"/>
      <c r="AR26" s="263"/>
      <c r="AS26" s="263"/>
      <c r="AT26" s="263"/>
      <c r="AU26" s="263"/>
      <c r="AV26" s="263"/>
    </row>
    <row r="27" spans="1:48" s="350" customFormat="1" ht="58.5" hidden="1">
      <c r="A27" s="304" t="s">
        <v>242</v>
      </c>
      <c r="B27" s="304" t="s">
        <v>607</v>
      </c>
      <c r="C27" s="284" t="s">
        <v>794</v>
      </c>
      <c r="D27" s="284"/>
      <c r="E27" s="284"/>
      <c r="F27" s="284"/>
      <c r="G27" s="284"/>
      <c r="H27" s="284"/>
      <c r="I27" s="284"/>
      <c r="J27" s="366">
        <v>1</v>
      </c>
      <c r="K27" s="370">
        <f t="shared" si="6"/>
        <v>0.7092198581560285</v>
      </c>
      <c r="L27" s="370">
        <v>10</v>
      </c>
      <c r="M27" s="370">
        <v>5</v>
      </c>
      <c r="N27" s="366">
        <f t="shared" si="2"/>
        <v>1</v>
      </c>
      <c r="O27" s="370">
        <f t="shared" si="3"/>
        <v>0.7092198581560285</v>
      </c>
      <c r="P27" s="370">
        <f t="shared" si="4"/>
        <v>5</v>
      </c>
      <c r="Q27" s="366">
        <f t="shared" si="7"/>
        <v>1</v>
      </c>
      <c r="R27" s="370">
        <f t="shared" si="0"/>
        <v>0.7092198581560285</v>
      </c>
      <c r="S27" s="366">
        <f t="shared" si="1"/>
        <v>100</v>
      </c>
      <c r="T27" s="366">
        <v>4.99</v>
      </c>
      <c r="U27" s="370">
        <f t="shared" si="5"/>
        <v>99.8</v>
      </c>
      <c r="V27" s="366"/>
      <c r="W27" s="366"/>
      <c r="X27" s="366"/>
      <c r="Y27" s="366"/>
      <c r="Z27" s="366"/>
      <c r="AA27" s="366"/>
      <c r="AB27" s="366"/>
      <c r="AC27" s="366"/>
      <c r="AD27" s="366"/>
      <c r="AE27" s="366"/>
      <c r="AF27" s="366"/>
      <c r="AG27" s="366"/>
      <c r="AH27" s="366"/>
      <c r="AI27" s="366"/>
      <c r="AJ27" s="366"/>
      <c r="AK27" s="366"/>
      <c r="AL27" s="360"/>
      <c r="AM27" s="263" t="s">
        <v>822</v>
      </c>
      <c r="AN27" s="263"/>
      <c r="AO27" s="263"/>
      <c r="AP27" s="263"/>
      <c r="AQ27" s="263"/>
      <c r="AR27" s="263"/>
      <c r="AS27" s="263"/>
      <c r="AT27" s="263"/>
      <c r="AU27" s="263"/>
      <c r="AV27" s="263"/>
    </row>
    <row r="28" spans="1:48" s="350" customFormat="1" ht="58.5" hidden="1">
      <c r="A28" s="304" t="s">
        <v>244</v>
      </c>
      <c r="B28" s="304" t="s">
        <v>608</v>
      </c>
      <c r="C28" s="284" t="s">
        <v>794</v>
      </c>
      <c r="D28" s="284"/>
      <c r="E28" s="284"/>
      <c r="F28" s="284"/>
      <c r="G28" s="284"/>
      <c r="H28" s="284"/>
      <c r="I28" s="284"/>
      <c r="J28" s="366">
        <v>1</v>
      </c>
      <c r="K28" s="370">
        <f t="shared" si="6"/>
        <v>0.7092198581560285</v>
      </c>
      <c r="L28" s="370">
        <v>10</v>
      </c>
      <c r="M28" s="370">
        <v>5</v>
      </c>
      <c r="N28" s="366">
        <f t="shared" si="2"/>
        <v>1</v>
      </c>
      <c r="O28" s="370">
        <f t="shared" si="3"/>
        <v>0.7092198581560285</v>
      </c>
      <c r="P28" s="370">
        <f t="shared" si="4"/>
        <v>5</v>
      </c>
      <c r="Q28" s="366">
        <f t="shared" si="7"/>
        <v>1</v>
      </c>
      <c r="R28" s="370">
        <f t="shared" si="0"/>
        <v>0.7092198581560285</v>
      </c>
      <c r="S28" s="366">
        <f t="shared" si="1"/>
        <v>100</v>
      </c>
      <c r="T28" s="366">
        <v>4.99</v>
      </c>
      <c r="U28" s="370">
        <f t="shared" si="5"/>
        <v>99.8</v>
      </c>
      <c r="V28" s="366"/>
      <c r="W28" s="366"/>
      <c r="X28" s="366"/>
      <c r="Y28" s="366"/>
      <c r="Z28" s="366"/>
      <c r="AA28" s="366"/>
      <c r="AB28" s="366"/>
      <c r="AC28" s="366"/>
      <c r="AD28" s="366"/>
      <c r="AE28" s="366"/>
      <c r="AF28" s="366"/>
      <c r="AG28" s="366"/>
      <c r="AH28" s="366"/>
      <c r="AI28" s="366"/>
      <c r="AJ28" s="366"/>
      <c r="AK28" s="366"/>
      <c r="AL28" s="360"/>
      <c r="AM28" s="263" t="s">
        <v>822</v>
      </c>
      <c r="AN28" s="263"/>
      <c r="AO28" s="263"/>
      <c r="AP28" s="263"/>
      <c r="AQ28" s="263"/>
      <c r="AR28" s="263"/>
      <c r="AS28" s="263"/>
      <c r="AT28" s="263"/>
      <c r="AU28" s="263"/>
      <c r="AV28" s="263"/>
    </row>
    <row r="29" spans="1:48" s="350" customFormat="1" ht="58.5" hidden="1">
      <c r="A29" s="304" t="s">
        <v>246</v>
      </c>
      <c r="B29" s="304" t="s">
        <v>609</v>
      </c>
      <c r="C29" s="284" t="s">
        <v>794</v>
      </c>
      <c r="D29" s="284"/>
      <c r="E29" s="284"/>
      <c r="F29" s="284"/>
      <c r="G29" s="284"/>
      <c r="H29" s="284"/>
      <c r="I29" s="284"/>
      <c r="J29" s="366">
        <v>1</v>
      </c>
      <c r="K29" s="370">
        <f t="shared" si="6"/>
        <v>0.7092198581560285</v>
      </c>
      <c r="L29" s="370">
        <v>10</v>
      </c>
      <c r="M29" s="370">
        <v>5</v>
      </c>
      <c r="N29" s="366">
        <f t="shared" si="2"/>
        <v>1</v>
      </c>
      <c r="O29" s="370">
        <f t="shared" si="3"/>
        <v>0.7092198581560285</v>
      </c>
      <c r="P29" s="370">
        <f t="shared" si="4"/>
        <v>5</v>
      </c>
      <c r="Q29" s="366">
        <f t="shared" si="7"/>
        <v>1</v>
      </c>
      <c r="R29" s="370">
        <f t="shared" si="0"/>
        <v>0.7092198581560285</v>
      </c>
      <c r="S29" s="366">
        <f t="shared" si="1"/>
        <v>100</v>
      </c>
      <c r="T29" s="366">
        <v>4.97</v>
      </c>
      <c r="U29" s="370">
        <f t="shared" si="5"/>
        <v>99.4</v>
      </c>
      <c r="V29" s="366"/>
      <c r="W29" s="366"/>
      <c r="X29" s="366"/>
      <c r="Y29" s="366"/>
      <c r="Z29" s="366"/>
      <c r="AA29" s="366"/>
      <c r="AB29" s="366"/>
      <c r="AC29" s="366"/>
      <c r="AD29" s="366"/>
      <c r="AE29" s="366"/>
      <c r="AF29" s="366"/>
      <c r="AG29" s="366"/>
      <c r="AH29" s="366"/>
      <c r="AI29" s="366"/>
      <c r="AJ29" s="366"/>
      <c r="AK29" s="366"/>
      <c r="AL29" s="360"/>
      <c r="AM29" s="263" t="s">
        <v>822</v>
      </c>
      <c r="AN29" s="263"/>
      <c r="AO29" s="263"/>
      <c r="AP29" s="263"/>
      <c r="AQ29" s="263"/>
      <c r="AR29" s="263"/>
      <c r="AS29" s="263"/>
      <c r="AT29" s="263"/>
      <c r="AU29" s="263"/>
      <c r="AV29" s="263"/>
    </row>
    <row r="30" spans="1:48" s="350" customFormat="1" ht="39" hidden="1">
      <c r="A30" s="304" t="s">
        <v>248</v>
      </c>
      <c r="B30" s="304" t="s">
        <v>610</v>
      </c>
      <c r="C30" s="284" t="s">
        <v>794</v>
      </c>
      <c r="D30" s="284"/>
      <c r="E30" s="284"/>
      <c r="F30" s="284"/>
      <c r="G30" s="284"/>
      <c r="H30" s="284"/>
      <c r="I30" s="284"/>
      <c r="J30" s="366">
        <v>1</v>
      </c>
      <c r="K30" s="370">
        <f t="shared" si="6"/>
        <v>1.418439716312057</v>
      </c>
      <c r="L30" s="370">
        <v>20</v>
      </c>
      <c r="M30" s="370">
        <v>20</v>
      </c>
      <c r="N30" s="366">
        <f t="shared" si="2"/>
        <v>1</v>
      </c>
      <c r="O30" s="370">
        <f t="shared" si="3"/>
        <v>2.836879432624114</v>
      </c>
      <c r="P30" s="370">
        <f t="shared" si="4"/>
        <v>20</v>
      </c>
      <c r="Q30" s="366">
        <f t="shared" si="7"/>
        <v>1</v>
      </c>
      <c r="R30" s="370">
        <f t="shared" si="0"/>
        <v>2.836879432624114</v>
      </c>
      <c r="S30" s="366">
        <f t="shared" si="1"/>
        <v>100</v>
      </c>
      <c r="T30" s="366">
        <v>19.97</v>
      </c>
      <c r="U30" s="370">
        <f>IFERROR(T30/L30*100,0)</f>
        <v>99.85</v>
      </c>
      <c r="V30" s="366"/>
      <c r="W30" s="366"/>
      <c r="X30" s="366"/>
      <c r="Y30" s="366"/>
      <c r="Z30" s="366"/>
      <c r="AA30" s="366"/>
      <c r="AB30" s="366"/>
      <c r="AC30" s="366"/>
      <c r="AD30" s="366"/>
      <c r="AE30" s="366"/>
      <c r="AF30" s="366"/>
      <c r="AG30" s="366"/>
      <c r="AH30" s="366"/>
      <c r="AI30" s="366"/>
      <c r="AJ30" s="366"/>
      <c r="AK30" s="366"/>
      <c r="AL30" s="360"/>
      <c r="AM30" s="263" t="s">
        <v>822</v>
      </c>
      <c r="AN30" s="263"/>
      <c r="AO30" s="263"/>
      <c r="AP30" s="263"/>
      <c r="AQ30" s="263"/>
      <c r="AR30" s="263"/>
      <c r="AS30" s="263"/>
      <c r="AT30" s="263"/>
      <c r="AU30" s="263"/>
      <c r="AV30" s="263"/>
    </row>
    <row r="31" spans="1:48" s="306" customFormat="1" ht="39" hidden="1">
      <c r="A31" s="304" t="s">
        <v>250</v>
      </c>
      <c r="B31" s="304" t="s">
        <v>611</v>
      </c>
      <c r="C31" s="284" t="s">
        <v>794</v>
      </c>
      <c r="D31" s="284"/>
      <c r="E31" s="284"/>
      <c r="F31" s="284"/>
      <c r="G31" s="284"/>
      <c r="H31" s="284"/>
      <c r="I31" s="284"/>
      <c r="J31" s="366">
        <v>0</v>
      </c>
      <c r="K31" s="370">
        <f t="shared" si="6"/>
        <v>0</v>
      </c>
      <c r="L31" s="371">
        <v>0</v>
      </c>
      <c r="M31" s="371">
        <v>0</v>
      </c>
      <c r="N31" s="366">
        <f t="shared" si="2"/>
        <v>0</v>
      </c>
      <c r="O31" s="370">
        <f t="shared" si="3"/>
        <v>0</v>
      </c>
      <c r="P31" s="370">
        <f t="shared" si="4"/>
        <v>0</v>
      </c>
      <c r="Q31" s="366">
        <f t="shared" si="7"/>
        <v>0</v>
      </c>
      <c r="R31" s="370">
        <v>0</v>
      </c>
      <c r="S31" s="366">
        <v>0</v>
      </c>
      <c r="T31" s="366">
        <v>0</v>
      </c>
      <c r="U31" s="370">
        <f t="shared" si="5"/>
        <v>0</v>
      </c>
      <c r="V31" s="370">
        <v>5</v>
      </c>
      <c r="W31" s="372">
        <v>0.12</v>
      </c>
      <c r="X31" s="370">
        <v>1.5</v>
      </c>
      <c r="Y31" s="370">
        <v>5</v>
      </c>
      <c r="Z31" s="370"/>
      <c r="AA31" s="370">
        <f>W31/V31*Y31</f>
        <v>0.12</v>
      </c>
      <c r="AB31" s="370"/>
      <c r="AC31" s="370"/>
      <c r="AD31" s="370"/>
      <c r="AE31" s="370"/>
      <c r="AF31" s="370"/>
      <c r="AG31" s="370"/>
      <c r="AH31" s="370">
        <v>15</v>
      </c>
      <c r="AI31" s="370">
        <v>0.37</v>
      </c>
      <c r="AJ31" s="366"/>
      <c r="AK31" s="366"/>
      <c r="AL31" s="360"/>
      <c r="AM31" s="263" t="s">
        <v>822</v>
      </c>
      <c r="AN31" s="305"/>
      <c r="AO31" s="305"/>
      <c r="AP31" s="305"/>
      <c r="AQ31" s="305"/>
      <c r="AR31" s="305"/>
      <c r="AS31" s="305"/>
      <c r="AT31" s="305"/>
      <c r="AU31" s="305"/>
      <c r="AV31" s="305"/>
    </row>
    <row r="32" spans="1:48" s="306" customFormat="1" ht="40.5" hidden="1">
      <c r="A32" s="308" t="s">
        <v>216</v>
      </c>
      <c r="B32" s="363" t="s">
        <v>612</v>
      </c>
      <c r="C32" s="284" t="s">
        <v>794</v>
      </c>
      <c r="D32" s="284"/>
      <c r="E32" s="284"/>
      <c r="F32" s="284"/>
      <c r="G32" s="284"/>
      <c r="H32" s="284"/>
      <c r="I32" s="284"/>
      <c r="J32" s="366">
        <v>2</v>
      </c>
      <c r="K32" s="370">
        <f t="shared" si="6"/>
        <v>0.14184397163120571</v>
      </c>
      <c r="L32" s="371">
        <v>2</v>
      </c>
      <c r="M32" s="371">
        <v>1.7</v>
      </c>
      <c r="N32" s="366">
        <f t="shared" si="2"/>
        <v>2</v>
      </c>
      <c r="O32" s="370">
        <f t="shared" si="3"/>
        <v>0.24113475177304969</v>
      </c>
      <c r="P32" s="370">
        <f t="shared" si="4"/>
        <v>1.7</v>
      </c>
      <c r="Q32" s="366">
        <f t="shared" si="7"/>
        <v>2</v>
      </c>
      <c r="R32" s="370">
        <f t="shared" si="0"/>
        <v>0.24113475177304969</v>
      </c>
      <c r="S32" s="366">
        <f t="shared" ref="S32:S95" si="8">ROUND(IF(O32=0,R32/K32*100,R32/O32*100),2)</f>
        <v>100</v>
      </c>
      <c r="T32" s="366">
        <v>1.21</v>
      </c>
      <c r="U32" s="370">
        <f t="shared" si="5"/>
        <v>71.17647058823529</v>
      </c>
      <c r="V32" s="366">
        <v>0</v>
      </c>
      <c r="W32" s="372">
        <v>0</v>
      </c>
      <c r="X32" s="366">
        <v>0</v>
      </c>
      <c r="Y32" s="366">
        <v>6</v>
      </c>
      <c r="Z32" s="366"/>
      <c r="AA32" s="370">
        <f>K32/J32*Y32</f>
        <v>0.42553191489361714</v>
      </c>
      <c r="AB32" s="370"/>
      <c r="AC32" s="370"/>
      <c r="AD32" s="370"/>
      <c r="AE32" s="370"/>
      <c r="AF32" s="370"/>
      <c r="AG32" s="370"/>
      <c r="AH32" s="370">
        <f t="shared" ref="AH32:AH33" si="9">Y32+Q32</f>
        <v>8</v>
      </c>
      <c r="AI32" s="370">
        <v>1.48</v>
      </c>
      <c r="AJ32" s="366"/>
      <c r="AK32" s="366"/>
      <c r="AL32" s="360"/>
      <c r="AM32" s="305" t="s">
        <v>823</v>
      </c>
      <c r="AN32" s="305"/>
      <c r="AO32" s="305"/>
      <c r="AP32" s="305"/>
      <c r="AQ32" s="305"/>
      <c r="AR32" s="305"/>
      <c r="AS32" s="305"/>
      <c r="AT32" s="305"/>
      <c r="AU32" s="305"/>
      <c r="AV32" s="305"/>
    </row>
    <row r="33" spans="1:48" s="306" customFormat="1" ht="40.5" hidden="1">
      <c r="A33" s="308" t="s">
        <v>399</v>
      </c>
      <c r="B33" s="363" t="s">
        <v>613</v>
      </c>
      <c r="C33" s="284" t="s">
        <v>794</v>
      </c>
      <c r="D33" s="284"/>
      <c r="E33" s="284"/>
      <c r="F33" s="284"/>
      <c r="G33" s="284"/>
      <c r="H33" s="284"/>
      <c r="I33" s="284"/>
      <c r="J33" s="366">
        <v>1</v>
      </c>
      <c r="K33" s="370">
        <f t="shared" si="6"/>
        <v>0.35460992907801425</v>
      </c>
      <c r="L33" s="371">
        <v>5</v>
      </c>
      <c r="M33" s="371">
        <v>0</v>
      </c>
      <c r="N33" s="366">
        <f t="shared" si="2"/>
        <v>1</v>
      </c>
      <c r="O33" s="370">
        <f t="shared" si="3"/>
        <v>0</v>
      </c>
      <c r="P33" s="370">
        <f t="shared" si="4"/>
        <v>0</v>
      </c>
      <c r="Q33" s="366">
        <f t="shared" si="7"/>
        <v>1</v>
      </c>
      <c r="R33" s="370">
        <f t="shared" si="0"/>
        <v>0</v>
      </c>
      <c r="S33" s="366">
        <f t="shared" si="8"/>
        <v>0</v>
      </c>
      <c r="T33" s="366">
        <v>0</v>
      </c>
      <c r="U33" s="370">
        <f t="shared" si="5"/>
        <v>0</v>
      </c>
      <c r="V33" s="366">
        <v>1</v>
      </c>
      <c r="W33" s="372">
        <v>0.02</v>
      </c>
      <c r="X33" s="366">
        <v>0.2</v>
      </c>
      <c r="Y33" s="366">
        <v>0</v>
      </c>
      <c r="Z33" s="366"/>
      <c r="AA33" s="370">
        <f t="shared" ref="AA33:AA46" si="10">W33/V33*Y33</f>
        <v>0</v>
      </c>
      <c r="AB33" s="370"/>
      <c r="AC33" s="370"/>
      <c r="AD33" s="370"/>
      <c r="AE33" s="370"/>
      <c r="AF33" s="370"/>
      <c r="AG33" s="370"/>
      <c r="AH33" s="370">
        <f t="shared" si="9"/>
        <v>1</v>
      </c>
      <c r="AI33" s="370">
        <f>K33/J33*AH33</f>
        <v>0.35460992907801425</v>
      </c>
      <c r="AJ33" s="366"/>
      <c r="AK33" s="366"/>
      <c r="AL33" s="360"/>
      <c r="AM33" s="305"/>
      <c r="AN33" s="305"/>
      <c r="AO33" s="305"/>
      <c r="AP33" s="305"/>
      <c r="AQ33" s="305"/>
      <c r="AR33" s="305"/>
      <c r="AS33" s="305"/>
      <c r="AT33" s="305"/>
      <c r="AU33" s="305"/>
      <c r="AV33" s="305"/>
    </row>
    <row r="34" spans="1:48" s="306" customFormat="1" ht="40.5" hidden="1">
      <c r="A34" s="308" t="s">
        <v>401</v>
      </c>
      <c r="B34" s="363" t="s">
        <v>614</v>
      </c>
      <c r="C34" s="284" t="s">
        <v>796</v>
      </c>
      <c r="D34" s="284"/>
      <c r="E34" s="284"/>
      <c r="F34" s="284"/>
      <c r="G34" s="284"/>
      <c r="H34" s="284"/>
      <c r="I34" s="284"/>
      <c r="J34" s="366">
        <v>1</v>
      </c>
      <c r="K34" s="370">
        <f t="shared" si="6"/>
        <v>0.35460992907801425</v>
      </c>
      <c r="L34" s="371">
        <v>5</v>
      </c>
      <c r="M34" s="371"/>
      <c r="N34" s="366">
        <f t="shared" si="2"/>
        <v>1</v>
      </c>
      <c r="O34" s="370">
        <f t="shared" si="3"/>
        <v>0</v>
      </c>
      <c r="P34" s="370">
        <f t="shared" si="4"/>
        <v>0</v>
      </c>
      <c r="Q34" s="366">
        <f t="shared" si="7"/>
        <v>1</v>
      </c>
      <c r="R34" s="370">
        <f t="shared" si="0"/>
        <v>0</v>
      </c>
      <c r="S34" s="366">
        <f t="shared" si="8"/>
        <v>0</v>
      </c>
      <c r="T34" s="366">
        <v>0</v>
      </c>
      <c r="U34" s="370">
        <f t="shared" si="5"/>
        <v>0</v>
      </c>
      <c r="V34" s="366"/>
      <c r="W34" s="372"/>
      <c r="X34" s="366"/>
      <c r="Y34" s="366"/>
      <c r="Z34" s="366"/>
      <c r="AA34" s="366"/>
      <c r="AB34" s="366"/>
      <c r="AC34" s="366"/>
      <c r="AD34" s="366"/>
      <c r="AE34" s="366"/>
      <c r="AF34" s="366"/>
      <c r="AG34" s="366"/>
      <c r="AH34" s="366"/>
      <c r="AI34" s="366"/>
      <c r="AJ34" s="366"/>
      <c r="AK34" s="366"/>
      <c r="AL34" s="360"/>
      <c r="AM34" s="305" t="s">
        <v>823</v>
      </c>
      <c r="AN34" s="305"/>
      <c r="AO34" s="305"/>
      <c r="AP34" s="305"/>
      <c r="AQ34" s="305"/>
      <c r="AR34" s="305"/>
      <c r="AS34" s="305"/>
      <c r="AT34" s="305"/>
      <c r="AU34" s="305"/>
      <c r="AV34" s="305"/>
    </row>
    <row r="35" spans="1:48" s="306" customFormat="1" ht="39" hidden="1">
      <c r="A35" s="308" t="s">
        <v>404</v>
      </c>
      <c r="B35" s="297" t="s">
        <v>615</v>
      </c>
      <c r="C35" s="352" t="s">
        <v>794</v>
      </c>
      <c r="D35" s="284"/>
      <c r="E35" s="284"/>
      <c r="F35" s="284"/>
      <c r="G35" s="284"/>
      <c r="H35" s="284"/>
      <c r="I35" s="284"/>
      <c r="J35" s="366">
        <v>1</v>
      </c>
      <c r="K35" s="370">
        <f t="shared" si="6"/>
        <v>3.5460992907801421</v>
      </c>
      <c r="L35" s="371">
        <v>50</v>
      </c>
      <c r="M35" s="371"/>
      <c r="N35" s="366">
        <f t="shared" si="2"/>
        <v>1</v>
      </c>
      <c r="O35" s="370">
        <f t="shared" si="3"/>
        <v>0</v>
      </c>
      <c r="P35" s="370">
        <f t="shared" si="4"/>
        <v>0</v>
      </c>
      <c r="Q35" s="366">
        <f t="shared" si="7"/>
        <v>1</v>
      </c>
      <c r="R35" s="370">
        <f t="shared" si="0"/>
        <v>0</v>
      </c>
      <c r="S35" s="366">
        <f t="shared" si="8"/>
        <v>0</v>
      </c>
      <c r="T35" s="366">
        <v>0</v>
      </c>
      <c r="U35" s="370">
        <f t="shared" si="5"/>
        <v>0</v>
      </c>
      <c r="V35" s="366">
        <v>1</v>
      </c>
      <c r="W35" s="366">
        <v>8.23</v>
      </c>
      <c r="X35" s="366">
        <v>100</v>
      </c>
      <c r="Y35" s="366">
        <v>0</v>
      </c>
      <c r="Z35" s="366"/>
      <c r="AA35" s="366">
        <v>0</v>
      </c>
      <c r="AB35" s="366"/>
      <c r="AC35" s="366"/>
      <c r="AD35" s="366"/>
      <c r="AE35" s="366"/>
      <c r="AF35" s="366"/>
      <c r="AG35" s="366"/>
      <c r="AH35" s="366">
        <v>0</v>
      </c>
      <c r="AI35" s="366">
        <v>0</v>
      </c>
      <c r="AJ35" s="366"/>
      <c r="AK35" s="366"/>
      <c r="AL35" s="360"/>
      <c r="AM35" s="305"/>
      <c r="AN35" s="305"/>
      <c r="AO35" s="305"/>
      <c r="AP35" s="305"/>
      <c r="AQ35" s="305"/>
      <c r="AR35" s="305"/>
      <c r="AS35" s="305"/>
      <c r="AT35" s="305"/>
      <c r="AU35" s="305"/>
      <c r="AV35" s="305"/>
    </row>
    <row r="36" spans="1:48" s="306" customFormat="1" ht="39" hidden="1">
      <c r="A36" s="308" t="s">
        <v>406</v>
      </c>
      <c r="B36" s="304" t="s">
        <v>540</v>
      </c>
      <c r="C36" s="283" t="s">
        <v>797</v>
      </c>
      <c r="D36" s="284"/>
      <c r="E36" s="284"/>
      <c r="F36" s="284"/>
      <c r="G36" s="284"/>
      <c r="H36" s="284"/>
      <c r="I36" s="284"/>
      <c r="J36" s="366">
        <v>1</v>
      </c>
      <c r="K36" s="370">
        <f t="shared" si="6"/>
        <v>3.5460992907801421</v>
      </c>
      <c r="L36" s="371">
        <v>50</v>
      </c>
      <c r="M36" s="371">
        <v>50</v>
      </c>
      <c r="N36" s="366">
        <f t="shared" si="2"/>
        <v>1</v>
      </c>
      <c r="O36" s="370">
        <f t="shared" si="3"/>
        <v>7.0921985815602842</v>
      </c>
      <c r="P36" s="370">
        <f t="shared" si="4"/>
        <v>50</v>
      </c>
      <c r="Q36" s="366">
        <f t="shared" si="7"/>
        <v>1</v>
      </c>
      <c r="R36" s="370">
        <f t="shared" si="0"/>
        <v>7.0921985815602842</v>
      </c>
      <c r="S36" s="366">
        <f t="shared" si="8"/>
        <v>100</v>
      </c>
      <c r="T36" s="366">
        <v>49.28</v>
      </c>
      <c r="U36" s="370">
        <f t="shared" si="5"/>
        <v>98.56</v>
      </c>
      <c r="V36" s="366">
        <v>0</v>
      </c>
      <c r="W36" s="366">
        <v>0</v>
      </c>
      <c r="X36" s="366">
        <v>0</v>
      </c>
      <c r="Y36" s="366">
        <v>0</v>
      </c>
      <c r="Z36" s="366"/>
      <c r="AA36" s="366">
        <v>0</v>
      </c>
      <c r="AB36" s="366"/>
      <c r="AC36" s="366"/>
      <c r="AD36" s="366"/>
      <c r="AE36" s="366"/>
      <c r="AF36" s="366"/>
      <c r="AG36" s="366"/>
      <c r="AH36" s="366">
        <v>0</v>
      </c>
      <c r="AI36" s="366">
        <v>0</v>
      </c>
      <c r="AJ36" s="366"/>
      <c r="AK36" s="366"/>
      <c r="AL36" s="360"/>
      <c r="AM36" s="305" t="s">
        <v>823</v>
      </c>
      <c r="AN36" s="305"/>
      <c r="AO36" s="305"/>
      <c r="AP36" s="305"/>
      <c r="AQ36" s="305"/>
      <c r="AR36" s="305"/>
      <c r="AS36" s="305"/>
      <c r="AT36" s="305"/>
      <c r="AU36" s="305"/>
      <c r="AV36" s="305"/>
    </row>
    <row r="37" spans="1:48" s="306" customFormat="1" ht="39" hidden="1">
      <c r="A37" s="308" t="s">
        <v>407</v>
      </c>
      <c r="B37" s="297" t="s">
        <v>616</v>
      </c>
      <c r="C37" s="352" t="s">
        <v>794</v>
      </c>
      <c r="D37" s="284"/>
      <c r="E37" s="284"/>
      <c r="F37" s="284"/>
      <c r="G37" s="284"/>
      <c r="H37" s="284"/>
      <c r="I37" s="284"/>
      <c r="J37" s="366">
        <v>1</v>
      </c>
      <c r="K37" s="370">
        <f t="shared" si="6"/>
        <v>0.35460992907801425</v>
      </c>
      <c r="L37" s="371">
        <v>5</v>
      </c>
      <c r="M37" s="371"/>
      <c r="N37" s="366">
        <f t="shared" si="2"/>
        <v>1</v>
      </c>
      <c r="O37" s="370">
        <f t="shared" si="3"/>
        <v>0</v>
      </c>
      <c r="P37" s="370">
        <f t="shared" si="4"/>
        <v>0</v>
      </c>
      <c r="Q37" s="366">
        <f t="shared" si="7"/>
        <v>1</v>
      </c>
      <c r="R37" s="370">
        <f t="shared" si="0"/>
        <v>0</v>
      </c>
      <c r="S37" s="366">
        <f t="shared" si="8"/>
        <v>0</v>
      </c>
      <c r="T37" s="366">
        <v>0</v>
      </c>
      <c r="U37" s="370">
        <f t="shared" si="5"/>
        <v>0</v>
      </c>
      <c r="V37" s="370">
        <v>0.2</v>
      </c>
      <c r="W37" s="372">
        <v>1.65</v>
      </c>
      <c r="X37" s="370">
        <v>20</v>
      </c>
      <c r="Y37" s="370">
        <f>V37</f>
        <v>0.2</v>
      </c>
      <c r="Z37" s="370"/>
      <c r="AA37" s="370">
        <v>1.65</v>
      </c>
      <c r="AB37" s="370"/>
      <c r="AC37" s="370"/>
      <c r="AD37" s="370"/>
      <c r="AE37" s="370"/>
      <c r="AF37" s="370"/>
      <c r="AG37" s="370"/>
      <c r="AH37" s="370">
        <v>1</v>
      </c>
      <c r="AI37" s="370">
        <f>K37/J37*AH37</f>
        <v>0.35460992907801425</v>
      </c>
      <c r="AJ37" s="366"/>
      <c r="AK37" s="366"/>
      <c r="AL37" s="360"/>
      <c r="AM37" s="305"/>
      <c r="AN37" s="305"/>
      <c r="AO37" s="305"/>
      <c r="AP37" s="305"/>
      <c r="AQ37" s="305"/>
      <c r="AR37" s="305"/>
      <c r="AS37" s="305"/>
      <c r="AT37" s="305"/>
      <c r="AU37" s="305"/>
      <c r="AV37" s="305"/>
    </row>
    <row r="38" spans="1:48" s="306" customFormat="1" ht="39" hidden="1">
      <c r="A38" s="308" t="s">
        <v>409</v>
      </c>
      <c r="B38" s="304" t="s">
        <v>540</v>
      </c>
      <c r="C38" s="341" t="s">
        <v>797</v>
      </c>
      <c r="D38" s="284"/>
      <c r="E38" s="284"/>
      <c r="F38" s="284"/>
      <c r="G38" s="284"/>
      <c r="H38" s="284"/>
      <c r="I38" s="284"/>
      <c r="J38" s="366">
        <v>1</v>
      </c>
      <c r="K38" s="370">
        <f t="shared" si="6"/>
        <v>0.35460992907801425</v>
      </c>
      <c r="L38" s="371">
        <v>5</v>
      </c>
      <c r="M38" s="371">
        <v>5</v>
      </c>
      <c r="N38" s="366">
        <f t="shared" si="2"/>
        <v>1</v>
      </c>
      <c r="O38" s="370">
        <f t="shared" si="3"/>
        <v>0.7092198581560285</v>
      </c>
      <c r="P38" s="370">
        <f t="shared" si="4"/>
        <v>5</v>
      </c>
      <c r="Q38" s="366">
        <f t="shared" si="7"/>
        <v>1</v>
      </c>
      <c r="R38" s="370">
        <f t="shared" si="0"/>
        <v>0.7092198581560285</v>
      </c>
      <c r="S38" s="366">
        <f t="shared" si="8"/>
        <v>100</v>
      </c>
      <c r="T38" s="366">
        <v>5</v>
      </c>
      <c r="U38" s="370">
        <f t="shared" si="5"/>
        <v>100</v>
      </c>
      <c r="V38" s="370"/>
      <c r="W38" s="372"/>
      <c r="X38" s="370"/>
      <c r="Y38" s="370"/>
      <c r="Z38" s="370"/>
      <c r="AA38" s="370"/>
      <c r="AB38" s="370"/>
      <c r="AC38" s="370"/>
      <c r="AD38" s="370"/>
      <c r="AE38" s="370"/>
      <c r="AF38" s="370"/>
      <c r="AG38" s="370"/>
      <c r="AH38" s="370"/>
      <c r="AI38" s="370"/>
      <c r="AJ38" s="366"/>
      <c r="AK38" s="366"/>
      <c r="AL38" s="360"/>
      <c r="AM38" s="305" t="s">
        <v>823</v>
      </c>
      <c r="AN38" s="305"/>
      <c r="AO38" s="305"/>
      <c r="AP38" s="305"/>
      <c r="AQ38" s="305"/>
      <c r="AR38" s="305"/>
      <c r="AS38" s="305"/>
      <c r="AT38" s="305"/>
      <c r="AU38" s="305"/>
      <c r="AV38" s="305"/>
    </row>
    <row r="39" spans="1:48" s="306" customFormat="1" ht="40.5" hidden="1">
      <c r="A39" s="308" t="s">
        <v>414</v>
      </c>
      <c r="B39" s="363" t="s">
        <v>617</v>
      </c>
      <c r="C39" s="352" t="s">
        <v>794</v>
      </c>
      <c r="D39" s="284"/>
      <c r="E39" s="284"/>
      <c r="F39" s="284"/>
      <c r="G39" s="284"/>
      <c r="H39" s="284"/>
      <c r="I39" s="284"/>
      <c r="J39" s="366">
        <v>1</v>
      </c>
      <c r="K39" s="370">
        <f t="shared" si="6"/>
        <v>0.42553191489361714</v>
      </c>
      <c r="L39" s="371">
        <v>6</v>
      </c>
      <c r="M39" s="371"/>
      <c r="N39" s="366">
        <f t="shared" si="2"/>
        <v>1</v>
      </c>
      <c r="O39" s="370">
        <f t="shared" si="3"/>
        <v>0</v>
      </c>
      <c r="P39" s="370">
        <f t="shared" si="4"/>
        <v>0</v>
      </c>
      <c r="Q39" s="366">
        <f t="shared" si="7"/>
        <v>1</v>
      </c>
      <c r="R39" s="370">
        <f t="shared" si="0"/>
        <v>0</v>
      </c>
      <c r="S39" s="366">
        <f t="shared" si="8"/>
        <v>0</v>
      </c>
      <c r="T39" s="366">
        <v>0</v>
      </c>
      <c r="U39" s="370">
        <f t="shared" si="5"/>
        <v>0</v>
      </c>
      <c r="V39" s="370"/>
      <c r="W39" s="372"/>
      <c r="X39" s="370"/>
      <c r="Y39" s="370"/>
      <c r="Z39" s="370"/>
      <c r="AA39" s="370"/>
      <c r="AB39" s="370"/>
      <c r="AC39" s="370"/>
      <c r="AD39" s="370"/>
      <c r="AE39" s="370"/>
      <c r="AF39" s="370"/>
      <c r="AG39" s="370"/>
      <c r="AH39" s="370"/>
      <c r="AI39" s="370"/>
      <c r="AJ39" s="366"/>
      <c r="AK39" s="366"/>
      <c r="AL39" s="360"/>
      <c r="AN39" s="305"/>
      <c r="AO39" s="305"/>
      <c r="AP39" s="305"/>
      <c r="AQ39" s="305"/>
      <c r="AR39" s="305"/>
      <c r="AS39" s="305"/>
      <c r="AT39" s="305"/>
      <c r="AU39" s="305"/>
      <c r="AV39" s="305"/>
    </row>
    <row r="40" spans="1:48" s="306" customFormat="1" ht="39">
      <c r="A40" s="308" t="s">
        <v>416</v>
      </c>
      <c r="B40" s="304" t="s">
        <v>540</v>
      </c>
      <c r="C40" s="341" t="s">
        <v>797</v>
      </c>
      <c r="D40" s="284"/>
      <c r="E40" s="284"/>
      <c r="F40" s="284"/>
      <c r="G40" s="284"/>
      <c r="H40" s="284"/>
      <c r="I40" s="284"/>
      <c r="J40" s="366">
        <v>1</v>
      </c>
      <c r="K40" s="370">
        <f t="shared" si="6"/>
        <v>0.42553191489361714</v>
      </c>
      <c r="L40" s="371">
        <v>6</v>
      </c>
      <c r="M40" s="371">
        <v>0</v>
      </c>
      <c r="N40" s="366">
        <f t="shared" si="2"/>
        <v>1</v>
      </c>
      <c r="O40" s="370">
        <f t="shared" si="3"/>
        <v>0</v>
      </c>
      <c r="P40" s="370">
        <f t="shared" si="4"/>
        <v>0</v>
      </c>
      <c r="Q40" s="366">
        <f t="shared" si="7"/>
        <v>1</v>
      </c>
      <c r="R40" s="370">
        <f t="shared" si="0"/>
        <v>0</v>
      </c>
      <c r="S40" s="366">
        <f t="shared" si="8"/>
        <v>0</v>
      </c>
      <c r="T40" s="366">
        <v>0</v>
      </c>
      <c r="U40" s="370">
        <f t="shared" si="5"/>
        <v>0</v>
      </c>
      <c r="V40" s="370"/>
      <c r="W40" s="372"/>
      <c r="X40" s="370"/>
      <c r="Y40" s="370"/>
      <c r="Z40" s="370"/>
      <c r="AA40" s="370"/>
      <c r="AB40" s="370"/>
      <c r="AC40" s="370"/>
      <c r="AD40" s="370"/>
      <c r="AE40" s="370"/>
      <c r="AF40" s="370"/>
      <c r="AG40" s="370"/>
      <c r="AH40" s="370"/>
      <c r="AI40" s="370"/>
      <c r="AJ40" s="366"/>
      <c r="AK40" s="366"/>
      <c r="AL40" s="360"/>
      <c r="AM40" s="305" t="s">
        <v>820</v>
      </c>
      <c r="AN40" s="305"/>
      <c r="AO40" s="305"/>
      <c r="AP40" s="305"/>
      <c r="AQ40" s="305"/>
      <c r="AR40" s="305"/>
      <c r="AS40" s="305"/>
      <c r="AT40" s="305"/>
      <c r="AU40" s="305"/>
      <c r="AV40" s="305"/>
    </row>
    <row r="41" spans="1:48" s="306" customFormat="1" ht="40.5" hidden="1">
      <c r="A41" s="308" t="s">
        <v>417</v>
      </c>
      <c r="B41" s="363" t="s">
        <v>618</v>
      </c>
      <c r="C41" s="352" t="s">
        <v>794</v>
      </c>
      <c r="D41" s="284"/>
      <c r="E41" s="284"/>
      <c r="F41" s="284"/>
      <c r="G41" s="284"/>
      <c r="H41" s="284"/>
      <c r="I41" s="284"/>
      <c r="J41" s="366">
        <v>1</v>
      </c>
      <c r="K41" s="370">
        <f t="shared" si="6"/>
        <v>0.85106382978723427</v>
      </c>
      <c r="L41" s="371">
        <v>12</v>
      </c>
      <c r="M41" s="371"/>
      <c r="N41" s="366">
        <f t="shared" si="2"/>
        <v>1</v>
      </c>
      <c r="O41" s="370">
        <f t="shared" si="3"/>
        <v>0</v>
      </c>
      <c r="P41" s="370">
        <f t="shared" si="4"/>
        <v>0</v>
      </c>
      <c r="Q41" s="366">
        <f t="shared" si="7"/>
        <v>1</v>
      </c>
      <c r="R41" s="370">
        <f t="shared" si="0"/>
        <v>0</v>
      </c>
      <c r="S41" s="366">
        <f t="shared" si="8"/>
        <v>0</v>
      </c>
      <c r="T41" s="366">
        <v>0</v>
      </c>
      <c r="U41" s="370">
        <f t="shared" si="5"/>
        <v>0</v>
      </c>
      <c r="V41" s="370"/>
      <c r="W41" s="372"/>
      <c r="X41" s="370"/>
      <c r="Y41" s="370"/>
      <c r="Z41" s="370"/>
      <c r="AA41" s="370"/>
      <c r="AB41" s="370"/>
      <c r="AC41" s="370"/>
      <c r="AD41" s="370"/>
      <c r="AE41" s="370"/>
      <c r="AF41" s="370"/>
      <c r="AG41" s="370"/>
      <c r="AH41" s="370"/>
      <c r="AI41" s="370"/>
      <c r="AJ41" s="366"/>
      <c r="AK41" s="366"/>
      <c r="AL41" s="360"/>
      <c r="AM41" s="305"/>
      <c r="AN41" s="305"/>
      <c r="AO41" s="305"/>
      <c r="AP41" s="305"/>
      <c r="AQ41" s="305"/>
      <c r="AR41" s="305"/>
      <c r="AS41" s="305"/>
      <c r="AT41" s="305"/>
      <c r="AU41" s="305"/>
      <c r="AV41" s="305"/>
    </row>
    <row r="42" spans="1:48" s="306" customFormat="1" ht="39" hidden="1">
      <c r="A42" s="308" t="s">
        <v>419</v>
      </c>
      <c r="B42" s="304" t="s">
        <v>540</v>
      </c>
      <c r="C42" s="341" t="s">
        <v>797</v>
      </c>
      <c r="D42" s="284"/>
      <c r="E42" s="284"/>
      <c r="F42" s="284"/>
      <c r="G42" s="284"/>
      <c r="H42" s="284"/>
      <c r="I42" s="284"/>
      <c r="J42" s="366">
        <v>1</v>
      </c>
      <c r="K42" s="370">
        <f t="shared" si="6"/>
        <v>0.85106382978723427</v>
      </c>
      <c r="L42" s="371">
        <v>12</v>
      </c>
      <c r="M42" s="371">
        <v>8.51</v>
      </c>
      <c r="N42" s="366">
        <f t="shared" si="2"/>
        <v>1</v>
      </c>
      <c r="O42" s="370">
        <f t="shared" si="3"/>
        <v>1.2070921985815604</v>
      </c>
      <c r="P42" s="370">
        <f t="shared" si="4"/>
        <v>8.51</v>
      </c>
      <c r="Q42" s="366">
        <f t="shared" si="7"/>
        <v>1</v>
      </c>
      <c r="R42" s="370">
        <f t="shared" si="0"/>
        <v>1.2070921985815604</v>
      </c>
      <c r="S42" s="366">
        <f t="shared" si="8"/>
        <v>100</v>
      </c>
      <c r="T42" s="366">
        <v>7.49</v>
      </c>
      <c r="U42" s="370">
        <f t="shared" si="5"/>
        <v>88.014101057579325</v>
      </c>
      <c r="V42" s="370"/>
      <c r="W42" s="372"/>
      <c r="X42" s="370"/>
      <c r="Y42" s="370"/>
      <c r="Z42" s="370"/>
      <c r="AA42" s="370"/>
      <c r="AB42" s="370"/>
      <c r="AC42" s="370"/>
      <c r="AD42" s="370"/>
      <c r="AE42" s="370"/>
      <c r="AF42" s="370"/>
      <c r="AG42" s="370"/>
      <c r="AH42" s="370"/>
      <c r="AI42" s="370"/>
      <c r="AJ42" s="366"/>
      <c r="AK42" s="366"/>
      <c r="AL42" s="360"/>
      <c r="AM42" s="305" t="s">
        <v>823</v>
      </c>
      <c r="AN42" s="305"/>
      <c r="AO42" s="305"/>
      <c r="AP42" s="305"/>
      <c r="AQ42" s="305"/>
      <c r="AR42" s="305"/>
      <c r="AS42" s="305"/>
      <c r="AT42" s="305"/>
      <c r="AU42" s="305"/>
      <c r="AV42" s="305"/>
    </row>
    <row r="43" spans="1:48" s="306" customFormat="1" ht="40.5" hidden="1">
      <c r="A43" s="308" t="s">
        <v>420</v>
      </c>
      <c r="B43" s="363" t="s">
        <v>619</v>
      </c>
      <c r="C43" s="283" t="s">
        <v>794</v>
      </c>
      <c r="D43" s="284"/>
      <c r="E43" s="284"/>
      <c r="F43" s="284"/>
      <c r="G43" s="284"/>
      <c r="H43" s="284"/>
      <c r="I43" s="284"/>
      <c r="J43" s="366">
        <v>1</v>
      </c>
      <c r="K43" s="370">
        <f t="shared" si="6"/>
        <v>0.42553191489361714</v>
      </c>
      <c r="L43" s="371">
        <v>6</v>
      </c>
      <c r="M43" s="371"/>
      <c r="N43" s="366">
        <f t="shared" si="2"/>
        <v>1</v>
      </c>
      <c r="O43" s="370">
        <f t="shared" si="3"/>
        <v>0</v>
      </c>
      <c r="P43" s="370">
        <f t="shared" si="4"/>
        <v>0</v>
      </c>
      <c r="Q43" s="366">
        <f t="shared" si="7"/>
        <v>1</v>
      </c>
      <c r="R43" s="370">
        <f t="shared" si="0"/>
        <v>0</v>
      </c>
      <c r="S43" s="366">
        <f t="shared" si="8"/>
        <v>0</v>
      </c>
      <c r="T43" s="366">
        <v>0</v>
      </c>
      <c r="U43" s="370">
        <f t="shared" si="5"/>
        <v>0</v>
      </c>
      <c r="V43" s="370"/>
      <c r="W43" s="372"/>
      <c r="X43" s="370"/>
      <c r="Y43" s="370"/>
      <c r="Z43" s="370"/>
      <c r="AA43" s="370"/>
      <c r="AB43" s="370"/>
      <c r="AC43" s="370"/>
      <c r="AD43" s="370"/>
      <c r="AE43" s="370"/>
      <c r="AF43" s="370"/>
      <c r="AG43" s="370"/>
      <c r="AH43" s="370"/>
      <c r="AI43" s="370"/>
      <c r="AJ43" s="366"/>
      <c r="AK43" s="366"/>
      <c r="AL43" s="360"/>
      <c r="AM43" s="305"/>
      <c r="AN43" s="305"/>
      <c r="AO43" s="305"/>
      <c r="AP43" s="305"/>
      <c r="AQ43" s="305"/>
      <c r="AR43" s="305"/>
      <c r="AS43" s="305"/>
      <c r="AT43" s="305"/>
      <c r="AU43" s="305"/>
      <c r="AV43" s="305"/>
    </row>
    <row r="44" spans="1:48" s="306" customFormat="1" ht="39" hidden="1">
      <c r="A44" s="308" t="s">
        <v>422</v>
      </c>
      <c r="B44" s="304" t="s">
        <v>540</v>
      </c>
      <c r="C44" s="283" t="s">
        <v>797</v>
      </c>
      <c r="D44" s="284"/>
      <c r="E44" s="284"/>
      <c r="F44" s="284"/>
      <c r="G44" s="284"/>
      <c r="H44" s="284"/>
      <c r="I44" s="284"/>
      <c r="J44" s="366">
        <v>1</v>
      </c>
      <c r="K44" s="370">
        <f t="shared" si="6"/>
        <v>0.42553191489361714</v>
      </c>
      <c r="L44" s="371">
        <v>6</v>
      </c>
      <c r="M44" s="371">
        <v>0</v>
      </c>
      <c r="N44" s="366">
        <f t="shared" si="2"/>
        <v>1</v>
      </c>
      <c r="O44" s="370">
        <f t="shared" si="3"/>
        <v>0</v>
      </c>
      <c r="P44" s="370">
        <f t="shared" si="4"/>
        <v>0</v>
      </c>
      <c r="Q44" s="366">
        <f t="shared" si="7"/>
        <v>1</v>
      </c>
      <c r="R44" s="370">
        <f t="shared" si="0"/>
        <v>0</v>
      </c>
      <c r="S44" s="366">
        <f t="shared" si="8"/>
        <v>0</v>
      </c>
      <c r="T44" s="366">
        <v>0</v>
      </c>
      <c r="U44" s="370">
        <f t="shared" si="5"/>
        <v>0</v>
      </c>
      <c r="V44" s="370"/>
      <c r="W44" s="372"/>
      <c r="X44" s="370"/>
      <c r="Y44" s="370"/>
      <c r="Z44" s="370"/>
      <c r="AA44" s="370"/>
      <c r="AB44" s="370"/>
      <c r="AC44" s="370"/>
      <c r="AD44" s="370"/>
      <c r="AE44" s="370"/>
      <c r="AF44" s="370"/>
      <c r="AG44" s="370"/>
      <c r="AH44" s="370"/>
      <c r="AI44" s="370"/>
      <c r="AJ44" s="366"/>
      <c r="AK44" s="366"/>
      <c r="AL44" s="360"/>
      <c r="AM44" s="305" t="s">
        <v>823</v>
      </c>
      <c r="AN44" s="305"/>
      <c r="AO44" s="305"/>
      <c r="AP44" s="305"/>
      <c r="AQ44" s="305"/>
      <c r="AR44" s="305"/>
      <c r="AS44" s="305"/>
      <c r="AT44" s="305"/>
      <c r="AU44" s="305"/>
      <c r="AV44" s="305"/>
    </row>
    <row r="45" spans="1:48" s="306" customFormat="1" ht="40.5" hidden="1">
      <c r="A45" s="308" t="s">
        <v>423</v>
      </c>
      <c r="B45" s="363" t="s">
        <v>620</v>
      </c>
      <c r="C45" s="283" t="s">
        <v>794</v>
      </c>
      <c r="D45" s="284"/>
      <c r="E45" s="284"/>
      <c r="F45" s="284"/>
      <c r="G45" s="284"/>
      <c r="H45" s="284"/>
      <c r="I45" s="284"/>
      <c r="J45" s="366">
        <v>1</v>
      </c>
      <c r="K45" s="370">
        <f t="shared" si="6"/>
        <v>0.42553191489361714</v>
      </c>
      <c r="L45" s="371">
        <v>6</v>
      </c>
      <c r="M45" s="371"/>
      <c r="N45" s="366">
        <f t="shared" si="2"/>
        <v>1</v>
      </c>
      <c r="O45" s="370">
        <f t="shared" si="3"/>
        <v>0</v>
      </c>
      <c r="P45" s="370">
        <f t="shared" si="4"/>
        <v>0</v>
      </c>
      <c r="Q45" s="366">
        <f t="shared" si="7"/>
        <v>1</v>
      </c>
      <c r="R45" s="370">
        <f t="shared" si="0"/>
        <v>0</v>
      </c>
      <c r="S45" s="366">
        <f t="shared" si="8"/>
        <v>0</v>
      </c>
      <c r="T45" s="366">
        <v>0</v>
      </c>
      <c r="U45" s="370">
        <f t="shared" si="5"/>
        <v>0</v>
      </c>
      <c r="V45" s="370">
        <v>0.34</v>
      </c>
      <c r="W45" s="372">
        <v>0.82</v>
      </c>
      <c r="X45" s="370">
        <v>10</v>
      </c>
      <c r="Y45" s="370">
        <f t="shared" ref="Y45:Y46" si="11">V45</f>
        <v>0.34</v>
      </c>
      <c r="Z45" s="370"/>
      <c r="AA45" s="370">
        <v>0.34</v>
      </c>
      <c r="AB45" s="370"/>
      <c r="AC45" s="370"/>
      <c r="AD45" s="370"/>
      <c r="AE45" s="370"/>
      <c r="AF45" s="370"/>
      <c r="AG45" s="370"/>
      <c r="AH45" s="370">
        <v>1</v>
      </c>
      <c r="AI45" s="370">
        <f>K45/J45*AH45</f>
        <v>0.42553191489361714</v>
      </c>
      <c r="AJ45" s="366"/>
      <c r="AK45" s="366"/>
      <c r="AL45" s="360"/>
      <c r="AM45" s="305"/>
      <c r="AN45" s="305"/>
      <c r="AO45" s="305"/>
      <c r="AP45" s="305"/>
      <c r="AQ45" s="305"/>
      <c r="AR45" s="305"/>
      <c r="AS45" s="305"/>
      <c r="AT45" s="305"/>
      <c r="AU45" s="305"/>
      <c r="AV45" s="305"/>
    </row>
    <row r="46" spans="1:48" s="306" customFormat="1" ht="39" hidden="1">
      <c r="A46" s="308" t="s">
        <v>425</v>
      </c>
      <c r="B46" s="304" t="s">
        <v>540</v>
      </c>
      <c r="C46" s="283" t="s">
        <v>797</v>
      </c>
      <c r="D46" s="284"/>
      <c r="E46" s="284"/>
      <c r="F46" s="284"/>
      <c r="G46" s="284"/>
      <c r="H46" s="284"/>
      <c r="I46" s="284"/>
      <c r="J46" s="366">
        <v>1</v>
      </c>
      <c r="K46" s="370">
        <f t="shared" si="6"/>
        <v>0.42553191489361714</v>
      </c>
      <c r="L46" s="371">
        <v>6</v>
      </c>
      <c r="M46" s="371">
        <v>0</v>
      </c>
      <c r="N46" s="366">
        <f t="shared" si="2"/>
        <v>1</v>
      </c>
      <c r="O46" s="370">
        <f t="shared" si="3"/>
        <v>0</v>
      </c>
      <c r="P46" s="370">
        <f t="shared" si="4"/>
        <v>0</v>
      </c>
      <c r="Q46" s="366">
        <f t="shared" si="7"/>
        <v>1</v>
      </c>
      <c r="R46" s="370">
        <f t="shared" si="0"/>
        <v>0</v>
      </c>
      <c r="S46" s="366">
        <f t="shared" si="8"/>
        <v>0</v>
      </c>
      <c r="T46" s="366">
        <v>0</v>
      </c>
      <c r="U46" s="370">
        <f t="shared" si="5"/>
        <v>0</v>
      </c>
      <c r="V46" s="370">
        <v>0.34</v>
      </c>
      <c r="W46" s="372">
        <v>0.28000000000000003</v>
      </c>
      <c r="X46" s="370">
        <v>3.4</v>
      </c>
      <c r="Y46" s="370">
        <f t="shared" si="11"/>
        <v>0.34</v>
      </c>
      <c r="Z46" s="370"/>
      <c r="AA46" s="370">
        <f t="shared" si="10"/>
        <v>0.28000000000000003</v>
      </c>
      <c r="AB46" s="370"/>
      <c r="AC46" s="370"/>
      <c r="AD46" s="370"/>
      <c r="AE46" s="370"/>
      <c r="AF46" s="370"/>
      <c r="AG46" s="370"/>
      <c r="AH46" s="370">
        <v>1</v>
      </c>
      <c r="AI46" s="370">
        <f>K46/J46*AH46</f>
        <v>0.42553191489361714</v>
      </c>
      <c r="AJ46" s="366"/>
      <c r="AK46" s="366"/>
      <c r="AL46" s="360"/>
      <c r="AM46" s="305" t="s">
        <v>823</v>
      </c>
      <c r="AN46" s="305"/>
      <c r="AO46" s="305"/>
      <c r="AP46" s="305"/>
      <c r="AQ46" s="305"/>
      <c r="AR46" s="305"/>
      <c r="AS46" s="305"/>
      <c r="AT46" s="305"/>
      <c r="AU46" s="305"/>
      <c r="AV46" s="305"/>
    </row>
    <row r="47" spans="1:48" s="306" customFormat="1" ht="39" hidden="1">
      <c r="A47" s="308" t="s">
        <v>426</v>
      </c>
      <c r="B47" s="304" t="s">
        <v>621</v>
      </c>
      <c r="C47" s="283" t="s">
        <v>794</v>
      </c>
      <c r="D47" s="284"/>
      <c r="E47" s="284"/>
      <c r="F47" s="284"/>
      <c r="G47" s="284"/>
      <c r="H47" s="284"/>
      <c r="I47" s="284"/>
      <c r="J47" s="366">
        <v>1</v>
      </c>
      <c r="K47" s="370">
        <f t="shared" si="6"/>
        <v>0.85106382978723427</v>
      </c>
      <c r="L47" s="371">
        <v>12</v>
      </c>
      <c r="M47" s="371"/>
      <c r="N47" s="366">
        <f t="shared" si="2"/>
        <v>1</v>
      </c>
      <c r="O47" s="370">
        <f t="shared" si="3"/>
        <v>0</v>
      </c>
      <c r="P47" s="370">
        <f t="shared" si="4"/>
        <v>0</v>
      </c>
      <c r="Q47" s="366">
        <f t="shared" si="7"/>
        <v>1</v>
      </c>
      <c r="R47" s="370">
        <f t="shared" si="0"/>
        <v>0</v>
      </c>
      <c r="S47" s="366">
        <f t="shared" si="8"/>
        <v>0</v>
      </c>
      <c r="T47" s="366">
        <v>0</v>
      </c>
      <c r="U47" s="370">
        <f t="shared" si="5"/>
        <v>0</v>
      </c>
      <c r="V47" s="370"/>
      <c r="W47" s="372"/>
      <c r="X47" s="370"/>
      <c r="Y47" s="370"/>
      <c r="Z47" s="370"/>
      <c r="AA47" s="370"/>
      <c r="AB47" s="370"/>
      <c r="AC47" s="370"/>
      <c r="AD47" s="370"/>
      <c r="AE47" s="370"/>
      <c r="AF47" s="370"/>
      <c r="AG47" s="370"/>
      <c r="AH47" s="370"/>
      <c r="AI47" s="370"/>
      <c r="AJ47" s="366"/>
      <c r="AK47" s="366"/>
      <c r="AL47" s="360"/>
      <c r="AM47" s="305"/>
      <c r="AN47" s="305"/>
      <c r="AO47" s="305"/>
      <c r="AP47" s="305"/>
      <c r="AQ47" s="305"/>
      <c r="AR47" s="305"/>
      <c r="AS47" s="305"/>
      <c r="AT47" s="305"/>
      <c r="AU47" s="305"/>
      <c r="AV47" s="305"/>
    </row>
    <row r="48" spans="1:48" s="306" customFormat="1" ht="39" hidden="1">
      <c r="A48" s="308" t="s">
        <v>428</v>
      </c>
      <c r="B48" s="304" t="s">
        <v>540</v>
      </c>
      <c r="C48" s="283" t="s">
        <v>797</v>
      </c>
      <c r="D48" s="284"/>
      <c r="E48" s="284"/>
      <c r="F48" s="284"/>
      <c r="G48" s="284"/>
      <c r="H48" s="284"/>
      <c r="I48" s="284"/>
      <c r="J48" s="366">
        <v>1</v>
      </c>
      <c r="K48" s="370">
        <f t="shared" si="6"/>
        <v>0.85106382978723427</v>
      </c>
      <c r="L48" s="371">
        <v>12</v>
      </c>
      <c r="M48" s="371">
        <v>0</v>
      </c>
      <c r="N48" s="366">
        <f t="shared" si="2"/>
        <v>1</v>
      </c>
      <c r="O48" s="370">
        <f t="shared" si="3"/>
        <v>0</v>
      </c>
      <c r="P48" s="370">
        <f t="shared" si="4"/>
        <v>0</v>
      </c>
      <c r="Q48" s="366">
        <f t="shared" si="7"/>
        <v>1</v>
      </c>
      <c r="R48" s="370">
        <f t="shared" si="0"/>
        <v>0</v>
      </c>
      <c r="S48" s="366">
        <f t="shared" si="8"/>
        <v>0</v>
      </c>
      <c r="T48" s="366">
        <v>0</v>
      </c>
      <c r="U48" s="370">
        <f t="shared" si="5"/>
        <v>0</v>
      </c>
      <c r="V48" s="370"/>
      <c r="W48" s="372"/>
      <c r="X48" s="370"/>
      <c r="Y48" s="370"/>
      <c r="Z48" s="370"/>
      <c r="AA48" s="370"/>
      <c r="AB48" s="370"/>
      <c r="AC48" s="370"/>
      <c r="AD48" s="370"/>
      <c r="AE48" s="370"/>
      <c r="AF48" s="370"/>
      <c r="AG48" s="370"/>
      <c r="AH48" s="370"/>
      <c r="AI48" s="370"/>
      <c r="AJ48" s="366"/>
      <c r="AK48" s="366"/>
      <c r="AL48" s="360"/>
      <c r="AM48" s="305" t="s">
        <v>823</v>
      </c>
      <c r="AN48" s="305"/>
      <c r="AO48" s="305"/>
      <c r="AP48" s="305"/>
      <c r="AQ48" s="305"/>
      <c r="AR48" s="305"/>
      <c r="AS48" s="305"/>
      <c r="AT48" s="305"/>
      <c r="AU48" s="305"/>
      <c r="AV48" s="305"/>
    </row>
    <row r="49" spans="1:48" s="306" customFormat="1" ht="39" hidden="1">
      <c r="A49" s="308" t="s">
        <v>429</v>
      </c>
      <c r="B49" s="304" t="s">
        <v>622</v>
      </c>
      <c r="C49" s="283" t="s">
        <v>794</v>
      </c>
      <c r="D49" s="284"/>
      <c r="E49" s="284"/>
      <c r="F49" s="284"/>
      <c r="G49" s="284"/>
      <c r="H49" s="284"/>
      <c r="I49" s="284"/>
      <c r="J49" s="366">
        <v>1</v>
      </c>
      <c r="K49" s="370">
        <f t="shared" si="6"/>
        <v>4.255319148936171</v>
      </c>
      <c r="L49" s="371">
        <v>60</v>
      </c>
      <c r="M49" s="371"/>
      <c r="N49" s="366">
        <f t="shared" si="2"/>
        <v>1</v>
      </c>
      <c r="O49" s="370">
        <f t="shared" si="3"/>
        <v>0</v>
      </c>
      <c r="P49" s="370">
        <f t="shared" si="4"/>
        <v>0</v>
      </c>
      <c r="Q49" s="366">
        <f t="shared" si="7"/>
        <v>1</v>
      </c>
      <c r="R49" s="370">
        <f t="shared" si="0"/>
        <v>0</v>
      </c>
      <c r="S49" s="366">
        <f t="shared" si="8"/>
        <v>0</v>
      </c>
      <c r="T49" s="366">
        <v>0</v>
      </c>
      <c r="U49" s="370">
        <f t="shared" si="5"/>
        <v>0</v>
      </c>
      <c r="V49" s="370"/>
      <c r="W49" s="372"/>
      <c r="X49" s="370"/>
      <c r="Y49" s="370"/>
      <c r="Z49" s="370"/>
      <c r="AA49" s="370"/>
      <c r="AB49" s="370"/>
      <c r="AC49" s="370"/>
      <c r="AD49" s="370"/>
      <c r="AE49" s="370"/>
      <c r="AF49" s="370"/>
      <c r="AG49" s="370"/>
      <c r="AH49" s="370"/>
      <c r="AI49" s="370"/>
      <c r="AJ49" s="366"/>
      <c r="AK49" s="366"/>
      <c r="AL49" s="360"/>
      <c r="AM49" s="305"/>
      <c r="AN49" s="305"/>
      <c r="AO49" s="305"/>
      <c r="AP49" s="305"/>
      <c r="AQ49" s="305"/>
      <c r="AR49" s="305"/>
      <c r="AS49" s="305"/>
      <c r="AT49" s="305"/>
      <c r="AU49" s="305"/>
      <c r="AV49" s="305"/>
    </row>
    <row r="50" spans="1:48" s="306" customFormat="1" ht="39" hidden="1">
      <c r="A50" s="308" t="s">
        <v>431</v>
      </c>
      <c r="B50" s="304" t="s">
        <v>540</v>
      </c>
      <c r="C50" s="283" t="s">
        <v>797</v>
      </c>
      <c r="D50" s="284"/>
      <c r="E50" s="284"/>
      <c r="F50" s="284"/>
      <c r="G50" s="284"/>
      <c r="H50" s="284"/>
      <c r="I50" s="284"/>
      <c r="J50" s="366">
        <v>1</v>
      </c>
      <c r="K50" s="370">
        <f t="shared" si="6"/>
        <v>4.255319148936171</v>
      </c>
      <c r="L50" s="371">
        <v>60</v>
      </c>
      <c r="M50" s="371">
        <v>0</v>
      </c>
      <c r="N50" s="366">
        <f t="shared" si="2"/>
        <v>1</v>
      </c>
      <c r="O50" s="370">
        <f t="shared" si="3"/>
        <v>0</v>
      </c>
      <c r="P50" s="370">
        <f t="shared" si="4"/>
        <v>0</v>
      </c>
      <c r="Q50" s="366">
        <f t="shared" si="7"/>
        <v>1</v>
      </c>
      <c r="R50" s="370">
        <f t="shared" si="0"/>
        <v>0</v>
      </c>
      <c r="S50" s="366">
        <f t="shared" si="8"/>
        <v>0</v>
      </c>
      <c r="T50" s="366">
        <v>0</v>
      </c>
      <c r="U50" s="370">
        <f t="shared" si="5"/>
        <v>0</v>
      </c>
      <c r="V50" s="370"/>
      <c r="W50" s="372"/>
      <c r="X50" s="370"/>
      <c r="Y50" s="370"/>
      <c r="Z50" s="370"/>
      <c r="AA50" s="370"/>
      <c r="AB50" s="370"/>
      <c r="AC50" s="370"/>
      <c r="AD50" s="370"/>
      <c r="AE50" s="370"/>
      <c r="AF50" s="370"/>
      <c r="AG50" s="370"/>
      <c r="AH50" s="370"/>
      <c r="AI50" s="370"/>
      <c r="AJ50" s="366"/>
      <c r="AK50" s="366"/>
      <c r="AL50" s="360"/>
      <c r="AM50" s="305" t="s">
        <v>823</v>
      </c>
      <c r="AN50" s="305"/>
      <c r="AO50" s="305"/>
      <c r="AP50" s="305"/>
      <c r="AQ50" s="305"/>
      <c r="AR50" s="305"/>
      <c r="AS50" s="305"/>
      <c r="AT50" s="305"/>
      <c r="AU50" s="305"/>
      <c r="AV50" s="305"/>
    </row>
    <row r="51" spans="1:48" s="306" customFormat="1" ht="39" hidden="1">
      <c r="A51" s="308" t="s">
        <v>432</v>
      </c>
      <c r="B51" s="304" t="s">
        <v>623</v>
      </c>
      <c r="C51" s="283" t="s">
        <v>794</v>
      </c>
      <c r="D51" s="284"/>
      <c r="E51" s="284"/>
      <c r="F51" s="284"/>
      <c r="G51" s="284"/>
      <c r="H51" s="284"/>
      <c r="I51" s="284"/>
      <c r="J51" s="366">
        <v>1</v>
      </c>
      <c r="K51" s="370">
        <f t="shared" si="6"/>
        <v>0.28368794326241142</v>
      </c>
      <c r="L51" s="371">
        <v>4</v>
      </c>
      <c r="M51" s="371"/>
      <c r="N51" s="366">
        <f t="shared" si="2"/>
        <v>1</v>
      </c>
      <c r="O51" s="370">
        <f t="shared" si="3"/>
        <v>0</v>
      </c>
      <c r="P51" s="370">
        <f t="shared" si="4"/>
        <v>0</v>
      </c>
      <c r="Q51" s="366">
        <f t="shared" si="7"/>
        <v>1</v>
      </c>
      <c r="R51" s="370">
        <f t="shared" si="0"/>
        <v>0</v>
      </c>
      <c r="S51" s="366">
        <f t="shared" si="8"/>
        <v>0</v>
      </c>
      <c r="T51" s="366">
        <v>0</v>
      </c>
      <c r="U51" s="370">
        <f t="shared" si="5"/>
        <v>0</v>
      </c>
      <c r="V51" s="370"/>
      <c r="W51" s="372"/>
      <c r="X51" s="370"/>
      <c r="Y51" s="370"/>
      <c r="Z51" s="370"/>
      <c r="AA51" s="370"/>
      <c r="AB51" s="370"/>
      <c r="AC51" s="370"/>
      <c r="AD51" s="370"/>
      <c r="AE51" s="370"/>
      <c r="AF51" s="370"/>
      <c r="AG51" s="370"/>
      <c r="AH51" s="370"/>
      <c r="AI51" s="370"/>
      <c r="AJ51" s="366"/>
      <c r="AK51" s="366"/>
      <c r="AL51" s="360"/>
      <c r="AM51" s="305"/>
      <c r="AN51" s="305"/>
      <c r="AO51" s="305"/>
      <c r="AP51" s="305"/>
      <c r="AQ51" s="305"/>
      <c r="AR51" s="305"/>
      <c r="AS51" s="305"/>
      <c r="AT51" s="305"/>
      <c r="AU51" s="305"/>
      <c r="AV51" s="305"/>
    </row>
    <row r="52" spans="1:48" s="306" customFormat="1" ht="39" hidden="1">
      <c r="A52" s="308" t="s">
        <v>434</v>
      </c>
      <c r="B52" s="304" t="s">
        <v>540</v>
      </c>
      <c r="C52" s="283" t="s">
        <v>797</v>
      </c>
      <c r="D52" s="284"/>
      <c r="E52" s="284"/>
      <c r="F52" s="284"/>
      <c r="G52" s="284"/>
      <c r="H52" s="284"/>
      <c r="I52" s="284"/>
      <c r="J52" s="366">
        <v>1</v>
      </c>
      <c r="K52" s="370">
        <f t="shared" si="6"/>
        <v>0.28368794326241142</v>
      </c>
      <c r="L52" s="371">
        <v>4</v>
      </c>
      <c r="M52" s="371">
        <v>0</v>
      </c>
      <c r="N52" s="366">
        <f t="shared" si="2"/>
        <v>1</v>
      </c>
      <c r="O52" s="370">
        <f t="shared" si="3"/>
        <v>0</v>
      </c>
      <c r="P52" s="370">
        <f t="shared" si="4"/>
        <v>0</v>
      </c>
      <c r="Q52" s="366">
        <f t="shared" si="7"/>
        <v>1</v>
      </c>
      <c r="R52" s="370">
        <f t="shared" si="0"/>
        <v>0</v>
      </c>
      <c r="S52" s="366">
        <f t="shared" si="8"/>
        <v>0</v>
      </c>
      <c r="T52" s="366">
        <v>0</v>
      </c>
      <c r="U52" s="370">
        <f t="shared" si="5"/>
        <v>0</v>
      </c>
      <c r="V52" s="370"/>
      <c r="W52" s="372"/>
      <c r="X52" s="370"/>
      <c r="Y52" s="370"/>
      <c r="Z52" s="370"/>
      <c r="AA52" s="370"/>
      <c r="AB52" s="370"/>
      <c r="AC52" s="370"/>
      <c r="AD52" s="370"/>
      <c r="AE52" s="370"/>
      <c r="AF52" s="370"/>
      <c r="AG52" s="370"/>
      <c r="AH52" s="370"/>
      <c r="AI52" s="370"/>
      <c r="AJ52" s="366"/>
      <c r="AK52" s="366"/>
      <c r="AL52" s="360"/>
      <c r="AM52" s="305" t="s">
        <v>823</v>
      </c>
      <c r="AN52" s="305"/>
      <c r="AO52" s="305"/>
      <c r="AP52" s="305"/>
      <c r="AQ52" s="305"/>
      <c r="AR52" s="305"/>
      <c r="AS52" s="305"/>
      <c r="AT52" s="305"/>
      <c r="AU52" s="305"/>
      <c r="AV52" s="305"/>
    </row>
    <row r="53" spans="1:48" s="306" customFormat="1" ht="39" hidden="1">
      <c r="A53" s="308" t="s">
        <v>435</v>
      </c>
      <c r="B53" s="304" t="s">
        <v>624</v>
      </c>
      <c r="C53" s="283" t="s">
        <v>794</v>
      </c>
      <c r="D53" s="284"/>
      <c r="E53" s="284"/>
      <c r="F53" s="284"/>
      <c r="G53" s="284"/>
      <c r="H53" s="284"/>
      <c r="I53" s="284"/>
      <c r="J53" s="366">
        <v>1</v>
      </c>
      <c r="K53" s="370">
        <f t="shared" si="6"/>
        <v>0.28368794326241142</v>
      </c>
      <c r="L53" s="371">
        <v>4</v>
      </c>
      <c r="M53" s="371"/>
      <c r="N53" s="366">
        <f t="shared" si="2"/>
        <v>1</v>
      </c>
      <c r="O53" s="370">
        <f t="shared" si="3"/>
        <v>0</v>
      </c>
      <c r="P53" s="370">
        <f t="shared" si="4"/>
        <v>0</v>
      </c>
      <c r="Q53" s="366">
        <f t="shared" si="7"/>
        <v>1</v>
      </c>
      <c r="R53" s="370">
        <f t="shared" si="0"/>
        <v>0</v>
      </c>
      <c r="S53" s="366">
        <f t="shared" si="8"/>
        <v>0</v>
      </c>
      <c r="T53" s="366">
        <v>0</v>
      </c>
      <c r="U53" s="370">
        <f t="shared" si="5"/>
        <v>0</v>
      </c>
      <c r="V53" s="370"/>
      <c r="W53" s="372"/>
      <c r="X53" s="370"/>
      <c r="Y53" s="370"/>
      <c r="Z53" s="370"/>
      <c r="AA53" s="370"/>
      <c r="AB53" s="370"/>
      <c r="AC53" s="370"/>
      <c r="AD53" s="370"/>
      <c r="AE53" s="370"/>
      <c r="AF53" s="370"/>
      <c r="AG53" s="370"/>
      <c r="AH53" s="370"/>
      <c r="AI53" s="370"/>
      <c r="AJ53" s="366"/>
      <c r="AK53" s="366"/>
      <c r="AL53" s="360"/>
      <c r="AM53" s="305"/>
      <c r="AN53" s="305"/>
      <c r="AO53" s="305"/>
      <c r="AP53" s="305"/>
      <c r="AQ53" s="305"/>
      <c r="AR53" s="305"/>
      <c r="AS53" s="305"/>
      <c r="AT53" s="305"/>
      <c r="AU53" s="305"/>
      <c r="AV53" s="305"/>
    </row>
    <row r="54" spans="1:48" s="306" customFormat="1" ht="39" hidden="1">
      <c r="A54" s="308" t="s">
        <v>437</v>
      </c>
      <c r="B54" s="304" t="s">
        <v>540</v>
      </c>
      <c r="C54" s="283" t="s">
        <v>797</v>
      </c>
      <c r="D54" s="284"/>
      <c r="E54" s="284"/>
      <c r="F54" s="284"/>
      <c r="G54" s="284"/>
      <c r="H54" s="284"/>
      <c r="I54" s="284"/>
      <c r="J54" s="366">
        <v>1</v>
      </c>
      <c r="K54" s="370">
        <f t="shared" si="6"/>
        <v>0.28368794326241142</v>
      </c>
      <c r="L54" s="371">
        <v>4</v>
      </c>
      <c r="M54" s="371">
        <v>0</v>
      </c>
      <c r="N54" s="366">
        <f t="shared" si="2"/>
        <v>1</v>
      </c>
      <c r="O54" s="370">
        <f t="shared" si="3"/>
        <v>0</v>
      </c>
      <c r="P54" s="370">
        <f t="shared" si="4"/>
        <v>0</v>
      </c>
      <c r="Q54" s="366">
        <f t="shared" si="7"/>
        <v>1</v>
      </c>
      <c r="R54" s="370">
        <f t="shared" si="0"/>
        <v>0</v>
      </c>
      <c r="S54" s="366">
        <f t="shared" si="8"/>
        <v>0</v>
      </c>
      <c r="T54" s="366">
        <v>0</v>
      </c>
      <c r="U54" s="370">
        <f t="shared" si="5"/>
        <v>0</v>
      </c>
      <c r="V54" s="370"/>
      <c r="W54" s="372"/>
      <c r="X54" s="370"/>
      <c r="Y54" s="370"/>
      <c r="Z54" s="370"/>
      <c r="AA54" s="370"/>
      <c r="AB54" s="370"/>
      <c r="AC54" s="370"/>
      <c r="AD54" s="370"/>
      <c r="AE54" s="370"/>
      <c r="AF54" s="370"/>
      <c r="AG54" s="370"/>
      <c r="AH54" s="370"/>
      <c r="AI54" s="370"/>
      <c r="AJ54" s="366"/>
      <c r="AK54" s="366"/>
      <c r="AL54" s="360"/>
      <c r="AM54" s="305" t="s">
        <v>823</v>
      </c>
      <c r="AN54" s="305"/>
      <c r="AO54" s="305"/>
      <c r="AP54" s="305"/>
      <c r="AQ54" s="305"/>
      <c r="AR54" s="305"/>
      <c r="AS54" s="305"/>
      <c r="AT54" s="305"/>
      <c r="AU54" s="305"/>
      <c r="AV54" s="305"/>
    </row>
    <row r="55" spans="1:48" s="306" customFormat="1" ht="39" hidden="1">
      <c r="A55" s="308" t="s">
        <v>438</v>
      </c>
      <c r="B55" s="304" t="s">
        <v>625</v>
      </c>
      <c r="C55" s="283" t="s">
        <v>794</v>
      </c>
      <c r="D55" s="284"/>
      <c r="E55" s="284"/>
      <c r="F55" s="284"/>
      <c r="G55" s="284"/>
      <c r="H55" s="284"/>
      <c r="I55" s="284"/>
      <c r="J55" s="366">
        <v>1</v>
      </c>
      <c r="K55" s="370">
        <f t="shared" si="6"/>
        <v>0.28368794326241142</v>
      </c>
      <c r="L55" s="371">
        <v>4</v>
      </c>
      <c r="M55" s="371"/>
      <c r="N55" s="366">
        <f t="shared" si="2"/>
        <v>1</v>
      </c>
      <c r="O55" s="370">
        <f t="shared" si="3"/>
        <v>0</v>
      </c>
      <c r="P55" s="370">
        <f t="shared" si="4"/>
        <v>0</v>
      </c>
      <c r="Q55" s="366">
        <f t="shared" si="7"/>
        <v>1</v>
      </c>
      <c r="R55" s="370">
        <f t="shared" si="0"/>
        <v>0</v>
      </c>
      <c r="S55" s="366">
        <f t="shared" si="8"/>
        <v>0</v>
      </c>
      <c r="T55" s="366">
        <v>0</v>
      </c>
      <c r="U55" s="370">
        <f t="shared" si="5"/>
        <v>0</v>
      </c>
      <c r="V55" s="370"/>
      <c r="W55" s="372"/>
      <c r="X55" s="370"/>
      <c r="Y55" s="370"/>
      <c r="Z55" s="370"/>
      <c r="AA55" s="370"/>
      <c r="AB55" s="370"/>
      <c r="AC55" s="370"/>
      <c r="AD55" s="370"/>
      <c r="AE55" s="370"/>
      <c r="AF55" s="370"/>
      <c r="AG55" s="370"/>
      <c r="AH55" s="370"/>
      <c r="AI55" s="370"/>
      <c r="AJ55" s="366"/>
      <c r="AK55" s="366"/>
      <c r="AL55" s="360"/>
      <c r="AM55" s="305"/>
      <c r="AN55" s="305"/>
      <c r="AO55" s="305"/>
      <c r="AP55" s="305"/>
      <c r="AQ55" s="305"/>
      <c r="AR55" s="305"/>
      <c r="AS55" s="305"/>
      <c r="AT55" s="305"/>
      <c r="AU55" s="305"/>
      <c r="AV55" s="305"/>
    </row>
    <row r="56" spans="1:48" s="306" customFormat="1" ht="39" hidden="1">
      <c r="A56" s="308" t="s">
        <v>440</v>
      </c>
      <c r="B56" s="304" t="s">
        <v>540</v>
      </c>
      <c r="C56" s="283" t="s">
        <v>797</v>
      </c>
      <c r="D56" s="284"/>
      <c r="E56" s="284"/>
      <c r="F56" s="284"/>
      <c r="G56" s="284"/>
      <c r="H56" s="284"/>
      <c r="I56" s="284"/>
      <c r="J56" s="366">
        <v>1</v>
      </c>
      <c r="K56" s="370">
        <f t="shared" si="6"/>
        <v>0.28368794326241142</v>
      </c>
      <c r="L56" s="371">
        <v>4</v>
      </c>
      <c r="M56" s="371">
        <v>0</v>
      </c>
      <c r="N56" s="366">
        <f t="shared" si="2"/>
        <v>1</v>
      </c>
      <c r="O56" s="370">
        <f t="shared" si="3"/>
        <v>0</v>
      </c>
      <c r="P56" s="370">
        <f t="shared" si="4"/>
        <v>0</v>
      </c>
      <c r="Q56" s="366">
        <f t="shared" si="7"/>
        <v>1</v>
      </c>
      <c r="R56" s="370">
        <f t="shared" si="0"/>
        <v>0</v>
      </c>
      <c r="S56" s="366">
        <f t="shared" si="8"/>
        <v>0</v>
      </c>
      <c r="T56" s="366">
        <v>0</v>
      </c>
      <c r="U56" s="370">
        <f t="shared" si="5"/>
        <v>0</v>
      </c>
      <c r="V56" s="370"/>
      <c r="W56" s="372"/>
      <c r="X56" s="370"/>
      <c r="Y56" s="370"/>
      <c r="Z56" s="370"/>
      <c r="AA56" s="370"/>
      <c r="AB56" s="370"/>
      <c r="AC56" s="370"/>
      <c r="AD56" s="370"/>
      <c r="AE56" s="370"/>
      <c r="AF56" s="370"/>
      <c r="AG56" s="370"/>
      <c r="AH56" s="370"/>
      <c r="AI56" s="370"/>
      <c r="AJ56" s="366"/>
      <c r="AK56" s="366"/>
      <c r="AL56" s="360"/>
      <c r="AM56" s="305" t="s">
        <v>823</v>
      </c>
      <c r="AN56" s="305"/>
      <c r="AO56" s="305"/>
      <c r="AP56" s="305"/>
      <c r="AQ56" s="305"/>
      <c r="AR56" s="305"/>
      <c r="AS56" s="305"/>
      <c r="AT56" s="305"/>
      <c r="AU56" s="305"/>
      <c r="AV56" s="305"/>
    </row>
    <row r="57" spans="1:48" s="306" customFormat="1" ht="39" hidden="1">
      <c r="A57" s="308" t="s">
        <v>441</v>
      </c>
      <c r="B57" s="304" t="s">
        <v>626</v>
      </c>
      <c r="C57" s="283" t="s">
        <v>794</v>
      </c>
      <c r="D57" s="284"/>
      <c r="E57" s="284"/>
      <c r="F57" s="284"/>
      <c r="G57" s="284"/>
      <c r="H57" s="284"/>
      <c r="I57" s="284"/>
      <c r="J57" s="366">
        <v>1</v>
      </c>
      <c r="K57" s="370">
        <f t="shared" si="6"/>
        <v>0.28368794326241142</v>
      </c>
      <c r="L57" s="371">
        <v>4</v>
      </c>
      <c r="M57" s="371"/>
      <c r="N57" s="366">
        <f t="shared" si="2"/>
        <v>1</v>
      </c>
      <c r="O57" s="370">
        <f t="shared" si="3"/>
        <v>0</v>
      </c>
      <c r="P57" s="370">
        <f t="shared" si="4"/>
        <v>0</v>
      </c>
      <c r="Q57" s="366">
        <f t="shared" si="7"/>
        <v>1</v>
      </c>
      <c r="R57" s="370">
        <f t="shared" si="0"/>
        <v>0</v>
      </c>
      <c r="S57" s="366">
        <f t="shared" si="8"/>
        <v>0</v>
      </c>
      <c r="T57" s="366">
        <v>0</v>
      </c>
      <c r="U57" s="370">
        <f t="shared" si="5"/>
        <v>0</v>
      </c>
      <c r="V57" s="370"/>
      <c r="W57" s="372"/>
      <c r="X57" s="370"/>
      <c r="Y57" s="370"/>
      <c r="Z57" s="370"/>
      <c r="AA57" s="370"/>
      <c r="AB57" s="370"/>
      <c r="AC57" s="370"/>
      <c r="AD57" s="370"/>
      <c r="AE57" s="370"/>
      <c r="AF57" s="370"/>
      <c r="AG57" s="370"/>
      <c r="AH57" s="370"/>
      <c r="AI57" s="370"/>
      <c r="AJ57" s="366"/>
      <c r="AK57" s="366"/>
      <c r="AL57" s="360"/>
      <c r="AM57" s="305"/>
      <c r="AN57" s="305"/>
      <c r="AO57" s="305"/>
      <c r="AP57" s="305"/>
      <c r="AQ57" s="305"/>
      <c r="AR57" s="305"/>
      <c r="AS57" s="305"/>
      <c r="AT57" s="305"/>
      <c r="AU57" s="305"/>
      <c r="AV57" s="305"/>
    </row>
    <row r="58" spans="1:48" s="306" customFormat="1" ht="39" hidden="1">
      <c r="A58" s="308" t="s">
        <v>443</v>
      </c>
      <c r="B58" s="304" t="s">
        <v>540</v>
      </c>
      <c r="C58" s="283" t="s">
        <v>797</v>
      </c>
      <c r="D58" s="284"/>
      <c r="E58" s="284"/>
      <c r="F58" s="284"/>
      <c r="G58" s="284"/>
      <c r="H58" s="284"/>
      <c r="I58" s="284"/>
      <c r="J58" s="366">
        <v>1</v>
      </c>
      <c r="K58" s="370">
        <f t="shared" si="6"/>
        <v>0.28368794326241142</v>
      </c>
      <c r="L58" s="371">
        <v>4</v>
      </c>
      <c r="M58" s="371">
        <v>0</v>
      </c>
      <c r="N58" s="366">
        <f t="shared" si="2"/>
        <v>1</v>
      </c>
      <c r="O58" s="370">
        <f t="shared" si="3"/>
        <v>0</v>
      </c>
      <c r="P58" s="370">
        <f t="shared" si="4"/>
        <v>0</v>
      </c>
      <c r="Q58" s="366">
        <f t="shared" si="7"/>
        <v>1</v>
      </c>
      <c r="R58" s="370">
        <f t="shared" si="0"/>
        <v>0</v>
      </c>
      <c r="S58" s="366">
        <f t="shared" si="8"/>
        <v>0</v>
      </c>
      <c r="T58" s="366">
        <v>0</v>
      </c>
      <c r="U58" s="370">
        <f t="shared" si="5"/>
        <v>0</v>
      </c>
      <c r="V58" s="370"/>
      <c r="W58" s="372"/>
      <c r="X58" s="370"/>
      <c r="Y58" s="370"/>
      <c r="Z58" s="370"/>
      <c r="AA58" s="370"/>
      <c r="AB58" s="370"/>
      <c r="AC58" s="370"/>
      <c r="AD58" s="370"/>
      <c r="AE58" s="370"/>
      <c r="AF58" s="370"/>
      <c r="AG58" s="370"/>
      <c r="AH58" s="370"/>
      <c r="AI58" s="370"/>
      <c r="AJ58" s="366"/>
      <c r="AK58" s="366"/>
      <c r="AL58" s="360"/>
      <c r="AM58" s="305" t="s">
        <v>823</v>
      </c>
      <c r="AN58" s="305"/>
      <c r="AO58" s="305"/>
      <c r="AP58" s="305"/>
      <c r="AQ58" s="305"/>
      <c r="AR58" s="305"/>
      <c r="AS58" s="305"/>
      <c r="AT58" s="305"/>
      <c r="AU58" s="305"/>
      <c r="AV58" s="305"/>
    </row>
    <row r="59" spans="1:48" s="306" customFormat="1" ht="39" hidden="1">
      <c r="A59" s="308" t="s">
        <v>444</v>
      </c>
      <c r="B59" s="304" t="s">
        <v>809</v>
      </c>
      <c r="C59" s="283" t="s">
        <v>794</v>
      </c>
      <c r="D59" s="284"/>
      <c r="E59" s="284"/>
      <c r="F59" s="284"/>
      <c r="G59" s="284"/>
      <c r="H59" s="284"/>
      <c r="I59" s="284"/>
      <c r="J59" s="366">
        <v>82.6</v>
      </c>
      <c r="K59" s="370">
        <f t="shared" si="6"/>
        <v>1.3475177304964541</v>
      </c>
      <c r="L59" s="371">
        <v>19</v>
      </c>
      <c r="M59" s="371"/>
      <c r="N59" s="366">
        <f t="shared" si="2"/>
        <v>82.6</v>
      </c>
      <c r="O59" s="370">
        <f t="shared" si="3"/>
        <v>0</v>
      </c>
      <c r="P59" s="370">
        <f t="shared" si="4"/>
        <v>0</v>
      </c>
      <c r="Q59" s="366">
        <f t="shared" si="7"/>
        <v>82.6</v>
      </c>
      <c r="R59" s="370">
        <f t="shared" si="0"/>
        <v>0</v>
      </c>
      <c r="S59" s="366">
        <f t="shared" si="8"/>
        <v>0</v>
      </c>
      <c r="T59" s="366">
        <v>0</v>
      </c>
      <c r="U59" s="370">
        <f t="shared" si="5"/>
        <v>0</v>
      </c>
      <c r="V59" s="370"/>
      <c r="W59" s="372"/>
      <c r="X59" s="370"/>
      <c r="Y59" s="370"/>
      <c r="Z59" s="370"/>
      <c r="AA59" s="370"/>
      <c r="AB59" s="370"/>
      <c r="AC59" s="370"/>
      <c r="AD59" s="370"/>
      <c r="AE59" s="370"/>
      <c r="AF59" s="370"/>
      <c r="AG59" s="370"/>
      <c r="AH59" s="370"/>
      <c r="AI59" s="370"/>
      <c r="AJ59" s="366"/>
      <c r="AK59" s="366"/>
      <c r="AL59" s="360"/>
      <c r="AM59" s="305"/>
      <c r="AN59" s="305"/>
      <c r="AO59" s="305"/>
      <c r="AP59" s="305"/>
      <c r="AQ59" s="305"/>
      <c r="AR59" s="305"/>
      <c r="AS59" s="305"/>
      <c r="AT59" s="305"/>
      <c r="AU59" s="305"/>
      <c r="AV59" s="305"/>
    </row>
    <row r="60" spans="1:48" s="306" customFormat="1" ht="39">
      <c r="A60" s="308" t="s">
        <v>446</v>
      </c>
      <c r="B60" s="304" t="s">
        <v>540</v>
      </c>
      <c r="C60" s="283" t="s">
        <v>797</v>
      </c>
      <c r="D60" s="284"/>
      <c r="E60" s="284"/>
      <c r="F60" s="284"/>
      <c r="G60" s="284"/>
      <c r="H60" s="284"/>
      <c r="I60" s="284"/>
      <c r="J60" s="366">
        <v>82.6</v>
      </c>
      <c r="K60" s="370">
        <f t="shared" si="6"/>
        <v>1.3475177304964541</v>
      </c>
      <c r="L60" s="371">
        <v>19</v>
      </c>
      <c r="M60" s="371">
        <v>18.5</v>
      </c>
      <c r="N60" s="366">
        <f t="shared" si="2"/>
        <v>82.6</v>
      </c>
      <c r="O60" s="370">
        <f t="shared" si="3"/>
        <v>2.6241134751773054</v>
      </c>
      <c r="P60" s="370">
        <f t="shared" si="4"/>
        <v>18.5</v>
      </c>
      <c r="Q60" s="366">
        <f t="shared" si="7"/>
        <v>82.6</v>
      </c>
      <c r="R60" s="370">
        <f t="shared" si="0"/>
        <v>2.6241134751773054</v>
      </c>
      <c r="S60" s="366">
        <f t="shared" si="8"/>
        <v>100</v>
      </c>
      <c r="T60" s="366">
        <v>14.57</v>
      </c>
      <c r="U60" s="370">
        <f t="shared" si="5"/>
        <v>78.756756756756758</v>
      </c>
      <c r="V60" s="370"/>
      <c r="W60" s="372"/>
      <c r="X60" s="370"/>
      <c r="Y60" s="370"/>
      <c r="Z60" s="370"/>
      <c r="AA60" s="370"/>
      <c r="AB60" s="370"/>
      <c r="AC60" s="370"/>
      <c r="AD60" s="370"/>
      <c r="AE60" s="370"/>
      <c r="AF60" s="370"/>
      <c r="AG60" s="370"/>
      <c r="AH60" s="370"/>
      <c r="AI60" s="370"/>
      <c r="AJ60" s="366"/>
      <c r="AK60" s="366"/>
      <c r="AL60" s="360"/>
      <c r="AM60" s="305" t="s">
        <v>820</v>
      </c>
      <c r="AN60" s="305"/>
      <c r="AO60" s="305"/>
      <c r="AP60" s="305"/>
      <c r="AQ60" s="305"/>
      <c r="AR60" s="305"/>
      <c r="AS60" s="305"/>
      <c r="AT60" s="305"/>
      <c r="AU60" s="305"/>
      <c r="AV60" s="305"/>
    </row>
    <row r="61" spans="1:48" s="306" customFormat="1" ht="39" hidden="1">
      <c r="A61" s="308" t="s">
        <v>447</v>
      </c>
      <c r="B61" s="304" t="s">
        <v>628</v>
      </c>
      <c r="C61" s="283" t="s">
        <v>794</v>
      </c>
      <c r="D61" s="284"/>
      <c r="E61" s="284"/>
      <c r="F61" s="284"/>
      <c r="G61" s="284"/>
      <c r="H61" s="284"/>
      <c r="I61" s="284"/>
      <c r="J61" s="366">
        <v>1</v>
      </c>
      <c r="K61" s="370">
        <f t="shared" si="6"/>
        <v>0.42553191489361714</v>
      </c>
      <c r="L61" s="371">
        <v>6</v>
      </c>
      <c r="M61" s="371"/>
      <c r="N61" s="366">
        <f t="shared" si="2"/>
        <v>1</v>
      </c>
      <c r="O61" s="370">
        <f t="shared" si="3"/>
        <v>0</v>
      </c>
      <c r="P61" s="370">
        <f t="shared" si="4"/>
        <v>0</v>
      </c>
      <c r="Q61" s="366">
        <f t="shared" si="7"/>
        <v>1</v>
      </c>
      <c r="R61" s="370">
        <f t="shared" si="0"/>
        <v>0</v>
      </c>
      <c r="S61" s="366">
        <f t="shared" si="8"/>
        <v>0</v>
      </c>
      <c r="T61" s="366">
        <v>0</v>
      </c>
      <c r="U61" s="370">
        <f t="shared" si="5"/>
        <v>0</v>
      </c>
      <c r="V61" s="370"/>
      <c r="W61" s="372"/>
      <c r="X61" s="370"/>
      <c r="Y61" s="370"/>
      <c r="Z61" s="370"/>
      <c r="AA61" s="370"/>
      <c r="AB61" s="370"/>
      <c r="AC61" s="370"/>
      <c r="AD61" s="370"/>
      <c r="AE61" s="370"/>
      <c r="AF61" s="370"/>
      <c r="AG61" s="370"/>
      <c r="AH61" s="370"/>
      <c r="AI61" s="370"/>
      <c r="AJ61" s="366"/>
      <c r="AK61" s="366"/>
      <c r="AL61" s="360"/>
      <c r="AM61" s="305"/>
      <c r="AN61" s="305"/>
      <c r="AO61" s="305"/>
      <c r="AP61" s="305"/>
      <c r="AQ61" s="305"/>
      <c r="AR61" s="305"/>
      <c r="AS61" s="305"/>
      <c r="AT61" s="305"/>
      <c r="AU61" s="305"/>
      <c r="AV61" s="305"/>
    </row>
    <row r="62" spans="1:48" s="306" customFormat="1" ht="39">
      <c r="A62" s="308" t="s">
        <v>449</v>
      </c>
      <c r="B62" s="304" t="s">
        <v>540</v>
      </c>
      <c r="C62" s="283" t="s">
        <v>797</v>
      </c>
      <c r="D62" s="284"/>
      <c r="E62" s="284"/>
      <c r="F62" s="284"/>
      <c r="G62" s="284"/>
      <c r="H62" s="284"/>
      <c r="I62" s="284"/>
      <c r="J62" s="366">
        <v>1</v>
      </c>
      <c r="K62" s="370">
        <f t="shared" si="6"/>
        <v>0.42553191489361714</v>
      </c>
      <c r="L62" s="371">
        <v>6</v>
      </c>
      <c r="M62" s="371">
        <v>0</v>
      </c>
      <c r="N62" s="366">
        <f t="shared" si="2"/>
        <v>1</v>
      </c>
      <c r="O62" s="370">
        <f t="shared" si="3"/>
        <v>0</v>
      </c>
      <c r="P62" s="370">
        <f t="shared" si="4"/>
        <v>0</v>
      </c>
      <c r="Q62" s="366">
        <f t="shared" si="7"/>
        <v>1</v>
      </c>
      <c r="R62" s="370">
        <f t="shared" si="0"/>
        <v>0</v>
      </c>
      <c r="S62" s="366">
        <f t="shared" si="8"/>
        <v>0</v>
      </c>
      <c r="T62" s="366">
        <v>0</v>
      </c>
      <c r="U62" s="370">
        <f t="shared" si="5"/>
        <v>0</v>
      </c>
      <c r="V62" s="370"/>
      <c r="W62" s="372"/>
      <c r="X62" s="370"/>
      <c r="Y62" s="370"/>
      <c r="Z62" s="370"/>
      <c r="AA62" s="370"/>
      <c r="AB62" s="370"/>
      <c r="AC62" s="370"/>
      <c r="AD62" s="370"/>
      <c r="AE62" s="370"/>
      <c r="AF62" s="370"/>
      <c r="AG62" s="370"/>
      <c r="AH62" s="370"/>
      <c r="AI62" s="370"/>
      <c r="AJ62" s="366"/>
      <c r="AK62" s="366"/>
      <c r="AL62" s="360"/>
      <c r="AM62" s="305" t="s">
        <v>820</v>
      </c>
      <c r="AN62" s="305"/>
      <c r="AO62" s="305"/>
      <c r="AP62" s="305"/>
      <c r="AQ62" s="305"/>
      <c r="AR62" s="305"/>
      <c r="AS62" s="305"/>
      <c r="AT62" s="305"/>
      <c r="AU62" s="305"/>
      <c r="AV62" s="305"/>
    </row>
    <row r="63" spans="1:48" s="306" customFormat="1" ht="58.5" hidden="1">
      <c r="A63" s="308" t="s">
        <v>255</v>
      </c>
      <c r="B63" s="297" t="s">
        <v>629</v>
      </c>
      <c r="C63" s="283" t="s">
        <v>794</v>
      </c>
      <c r="D63" s="284"/>
      <c r="E63" s="284"/>
      <c r="F63" s="284"/>
      <c r="G63" s="284"/>
      <c r="H63" s="284"/>
      <c r="I63" s="284"/>
      <c r="J63" s="366">
        <v>26.03</v>
      </c>
      <c r="K63" s="370">
        <f t="shared" si="6"/>
        <v>5.3900709219858163</v>
      </c>
      <c r="L63" s="371">
        <v>76</v>
      </c>
      <c r="M63" s="371"/>
      <c r="N63" s="366">
        <f t="shared" si="2"/>
        <v>26.03</v>
      </c>
      <c r="O63" s="370">
        <f t="shared" si="3"/>
        <v>0</v>
      </c>
      <c r="P63" s="370">
        <f t="shared" si="4"/>
        <v>0</v>
      </c>
      <c r="Q63" s="366">
        <f t="shared" si="7"/>
        <v>26.03</v>
      </c>
      <c r="R63" s="370">
        <f t="shared" si="0"/>
        <v>0</v>
      </c>
      <c r="S63" s="366">
        <f t="shared" si="8"/>
        <v>0</v>
      </c>
      <c r="T63" s="366">
        <v>0</v>
      </c>
      <c r="U63" s="370">
        <f t="shared" si="5"/>
        <v>0</v>
      </c>
      <c r="V63" s="370"/>
      <c r="W63" s="372"/>
      <c r="X63" s="370"/>
      <c r="Y63" s="370"/>
      <c r="Z63" s="370"/>
      <c r="AA63" s="370"/>
      <c r="AB63" s="370"/>
      <c r="AC63" s="370"/>
      <c r="AD63" s="370"/>
      <c r="AE63" s="370"/>
      <c r="AF63" s="370"/>
      <c r="AG63" s="370"/>
      <c r="AH63" s="370"/>
      <c r="AI63" s="370"/>
      <c r="AJ63" s="366"/>
      <c r="AK63" s="366"/>
      <c r="AL63" s="360"/>
      <c r="AM63" s="305"/>
      <c r="AN63" s="305"/>
      <c r="AO63" s="305"/>
      <c r="AP63" s="305"/>
      <c r="AQ63" s="305"/>
      <c r="AR63" s="305"/>
      <c r="AS63" s="305"/>
      <c r="AT63" s="305"/>
      <c r="AU63" s="305"/>
      <c r="AV63" s="305"/>
    </row>
    <row r="64" spans="1:48" s="306" customFormat="1" ht="39" hidden="1">
      <c r="A64" s="308" t="s">
        <v>257</v>
      </c>
      <c r="B64" s="304" t="s">
        <v>561</v>
      </c>
      <c r="C64" s="283" t="s">
        <v>797</v>
      </c>
      <c r="D64" s="284"/>
      <c r="E64" s="284"/>
      <c r="F64" s="284"/>
      <c r="G64" s="284"/>
      <c r="H64" s="284"/>
      <c r="I64" s="284"/>
      <c r="J64" s="366">
        <v>26.03</v>
      </c>
      <c r="K64" s="370">
        <f t="shared" si="6"/>
        <v>5.3900709219858163</v>
      </c>
      <c r="L64" s="371">
        <v>76</v>
      </c>
      <c r="M64" s="371">
        <v>47</v>
      </c>
      <c r="N64" s="366">
        <f t="shared" si="2"/>
        <v>26.03</v>
      </c>
      <c r="O64" s="370">
        <f t="shared" si="3"/>
        <v>6.6666666666666679</v>
      </c>
      <c r="P64" s="370">
        <f t="shared" si="4"/>
        <v>47</v>
      </c>
      <c r="Q64" s="366">
        <f t="shared" si="7"/>
        <v>26.03</v>
      </c>
      <c r="R64" s="370">
        <f t="shared" si="0"/>
        <v>6.6666666666666679</v>
      </c>
      <c r="S64" s="366">
        <f t="shared" si="8"/>
        <v>100</v>
      </c>
      <c r="T64" s="366">
        <v>46.99</v>
      </c>
      <c r="U64" s="370">
        <f t="shared" si="5"/>
        <v>99.978723404255319</v>
      </c>
      <c r="V64" s="370"/>
      <c r="W64" s="372"/>
      <c r="X64" s="370"/>
      <c r="Y64" s="370"/>
      <c r="Z64" s="370"/>
      <c r="AA64" s="370"/>
      <c r="AB64" s="370"/>
      <c r="AC64" s="370"/>
      <c r="AD64" s="370"/>
      <c r="AE64" s="370"/>
      <c r="AF64" s="370"/>
      <c r="AG64" s="370"/>
      <c r="AH64" s="370"/>
      <c r="AI64" s="370"/>
      <c r="AJ64" s="366"/>
      <c r="AK64" s="366"/>
      <c r="AL64" s="360"/>
      <c r="AM64" s="305" t="s">
        <v>823</v>
      </c>
      <c r="AN64" s="305"/>
      <c r="AO64" s="305"/>
      <c r="AP64" s="305"/>
      <c r="AQ64" s="305"/>
      <c r="AR64" s="305"/>
      <c r="AS64" s="305"/>
      <c r="AT64" s="305"/>
      <c r="AU64" s="305"/>
      <c r="AV64" s="305"/>
    </row>
    <row r="65" spans="1:48" s="306" customFormat="1" ht="40.5" hidden="1">
      <c r="A65" s="308" t="s">
        <v>260</v>
      </c>
      <c r="B65" s="353" t="s">
        <v>673</v>
      </c>
      <c r="C65" s="283" t="s">
        <v>794</v>
      </c>
      <c r="D65" s="284"/>
      <c r="E65" s="284"/>
      <c r="F65" s="284"/>
      <c r="G65" s="284"/>
      <c r="H65" s="284"/>
      <c r="I65" s="284"/>
      <c r="J65" s="366">
        <v>1.5</v>
      </c>
      <c r="K65" s="370">
        <f t="shared" si="6"/>
        <v>1.9148936170212769</v>
      </c>
      <c r="L65" s="371">
        <v>27</v>
      </c>
      <c r="M65" s="371"/>
      <c r="N65" s="366">
        <f t="shared" si="2"/>
        <v>1.5</v>
      </c>
      <c r="O65" s="370">
        <f t="shared" si="3"/>
        <v>0</v>
      </c>
      <c r="P65" s="370">
        <f t="shared" si="4"/>
        <v>0</v>
      </c>
      <c r="Q65" s="366">
        <f t="shared" si="7"/>
        <v>1.5</v>
      </c>
      <c r="R65" s="370">
        <f t="shared" si="0"/>
        <v>0</v>
      </c>
      <c r="S65" s="366">
        <f t="shared" si="8"/>
        <v>0</v>
      </c>
      <c r="T65" s="366">
        <v>0</v>
      </c>
      <c r="U65" s="370">
        <f t="shared" si="5"/>
        <v>0</v>
      </c>
      <c r="V65" s="370"/>
      <c r="W65" s="372"/>
      <c r="X65" s="370"/>
      <c r="Y65" s="370"/>
      <c r="Z65" s="370"/>
      <c r="AA65" s="370"/>
      <c r="AB65" s="370"/>
      <c r="AC65" s="370"/>
      <c r="AD65" s="370"/>
      <c r="AE65" s="370"/>
      <c r="AF65" s="370"/>
      <c r="AG65" s="370"/>
      <c r="AH65" s="370"/>
      <c r="AI65" s="370"/>
      <c r="AJ65" s="366"/>
      <c r="AK65" s="366"/>
      <c r="AL65" s="360"/>
      <c r="AM65" s="305"/>
      <c r="AN65" s="305"/>
      <c r="AO65" s="305"/>
      <c r="AP65" s="305"/>
      <c r="AQ65" s="305"/>
      <c r="AR65" s="305"/>
      <c r="AS65" s="305"/>
      <c r="AT65" s="305"/>
      <c r="AU65" s="305"/>
      <c r="AV65" s="305"/>
    </row>
    <row r="66" spans="1:48" s="306" customFormat="1" ht="39" hidden="1">
      <c r="A66" s="308" t="s">
        <v>262</v>
      </c>
      <c r="B66" s="304" t="s">
        <v>561</v>
      </c>
      <c r="C66" s="283" t="s">
        <v>797</v>
      </c>
      <c r="D66" s="284"/>
      <c r="E66" s="284"/>
      <c r="F66" s="284"/>
      <c r="G66" s="284"/>
      <c r="H66" s="284"/>
      <c r="I66" s="284"/>
      <c r="J66" s="366">
        <v>1.5</v>
      </c>
      <c r="K66" s="370">
        <f t="shared" si="6"/>
        <v>1.9148936170212769</v>
      </c>
      <c r="L66" s="371">
        <v>27</v>
      </c>
      <c r="M66" s="371">
        <v>26.65</v>
      </c>
      <c r="N66" s="366">
        <f t="shared" si="2"/>
        <v>1.5</v>
      </c>
      <c r="O66" s="370">
        <f t="shared" si="3"/>
        <v>3.7801418439716317</v>
      </c>
      <c r="P66" s="370">
        <f t="shared" si="4"/>
        <v>26.65</v>
      </c>
      <c r="Q66" s="366">
        <f t="shared" si="7"/>
        <v>1.5</v>
      </c>
      <c r="R66" s="370">
        <f t="shared" si="0"/>
        <v>3.7801418439716317</v>
      </c>
      <c r="S66" s="366">
        <f t="shared" si="8"/>
        <v>100</v>
      </c>
      <c r="T66" s="366">
        <v>26.6</v>
      </c>
      <c r="U66" s="370">
        <f t="shared" si="5"/>
        <v>99.812382739212012</v>
      </c>
      <c r="V66" s="370"/>
      <c r="W66" s="372"/>
      <c r="X66" s="370"/>
      <c r="Y66" s="370"/>
      <c r="Z66" s="370"/>
      <c r="AA66" s="370"/>
      <c r="AB66" s="370"/>
      <c r="AC66" s="370"/>
      <c r="AD66" s="370"/>
      <c r="AE66" s="370"/>
      <c r="AF66" s="370"/>
      <c r="AG66" s="370"/>
      <c r="AH66" s="370"/>
      <c r="AI66" s="370"/>
      <c r="AJ66" s="366"/>
      <c r="AK66" s="366"/>
      <c r="AL66" s="360"/>
      <c r="AM66" s="305" t="s">
        <v>823</v>
      </c>
      <c r="AN66" s="305"/>
      <c r="AO66" s="305"/>
      <c r="AP66" s="305"/>
      <c r="AQ66" s="305"/>
      <c r="AR66" s="305"/>
      <c r="AS66" s="305"/>
      <c r="AT66" s="305"/>
      <c r="AU66" s="305"/>
      <c r="AV66" s="305"/>
    </row>
    <row r="67" spans="1:48" s="306" customFormat="1" ht="40.5" hidden="1">
      <c r="A67" s="308" t="s">
        <v>263</v>
      </c>
      <c r="B67" s="353" t="s">
        <v>674</v>
      </c>
      <c r="C67" s="283" t="s">
        <v>797</v>
      </c>
      <c r="D67" s="284"/>
      <c r="E67" s="284"/>
      <c r="F67" s="284"/>
      <c r="G67" s="284"/>
      <c r="H67" s="284"/>
      <c r="I67" s="284"/>
      <c r="J67" s="366">
        <v>5</v>
      </c>
      <c r="K67" s="370">
        <f t="shared" si="6"/>
        <v>7.0921985815602856E-2</v>
      </c>
      <c r="L67" s="371">
        <v>1</v>
      </c>
      <c r="M67" s="371">
        <v>0</v>
      </c>
      <c r="N67" s="366">
        <f t="shared" si="2"/>
        <v>5</v>
      </c>
      <c r="O67" s="370">
        <f t="shared" si="3"/>
        <v>0</v>
      </c>
      <c r="P67" s="370">
        <f t="shared" si="4"/>
        <v>0</v>
      </c>
      <c r="Q67" s="366">
        <f t="shared" si="7"/>
        <v>5</v>
      </c>
      <c r="R67" s="370">
        <f t="shared" si="0"/>
        <v>0</v>
      </c>
      <c r="S67" s="366">
        <f t="shared" si="8"/>
        <v>0</v>
      </c>
      <c r="T67" s="366">
        <v>0</v>
      </c>
      <c r="U67" s="370">
        <f t="shared" si="5"/>
        <v>0</v>
      </c>
      <c r="V67" s="370"/>
      <c r="W67" s="372"/>
      <c r="X67" s="370"/>
      <c r="Y67" s="370"/>
      <c r="Z67" s="370"/>
      <c r="AA67" s="370"/>
      <c r="AB67" s="370"/>
      <c r="AC67" s="370"/>
      <c r="AD67" s="370"/>
      <c r="AE67" s="370"/>
      <c r="AF67" s="370"/>
      <c r="AG67" s="370"/>
      <c r="AH67" s="370"/>
      <c r="AI67" s="370"/>
      <c r="AJ67" s="366"/>
      <c r="AK67" s="366"/>
      <c r="AL67" s="360"/>
      <c r="AM67" s="305" t="s">
        <v>823</v>
      </c>
      <c r="AN67" s="305"/>
      <c r="AO67" s="305"/>
      <c r="AP67" s="305"/>
      <c r="AQ67" s="305"/>
      <c r="AR67" s="305"/>
      <c r="AS67" s="305"/>
      <c r="AT67" s="305"/>
      <c r="AU67" s="305"/>
      <c r="AV67" s="305"/>
    </row>
    <row r="68" spans="1:48" s="306" customFormat="1" ht="40.5" hidden="1">
      <c r="A68" s="308" t="s">
        <v>566</v>
      </c>
      <c r="B68" s="353" t="s">
        <v>675</v>
      </c>
      <c r="C68" s="283" t="s">
        <v>797</v>
      </c>
      <c r="D68" s="284"/>
      <c r="E68" s="284"/>
      <c r="F68" s="284"/>
      <c r="G68" s="284"/>
      <c r="H68" s="284"/>
      <c r="I68" s="284"/>
      <c r="J68" s="366">
        <v>0.5</v>
      </c>
      <c r="K68" s="370">
        <f t="shared" si="6"/>
        <v>7.0921985815602856E-2</v>
      </c>
      <c r="L68" s="371">
        <v>1</v>
      </c>
      <c r="M68" s="371">
        <v>0</v>
      </c>
      <c r="N68" s="366">
        <f t="shared" si="2"/>
        <v>0.5</v>
      </c>
      <c r="O68" s="370">
        <f t="shared" si="3"/>
        <v>0</v>
      </c>
      <c r="P68" s="370">
        <f t="shared" si="4"/>
        <v>0</v>
      </c>
      <c r="Q68" s="366">
        <f t="shared" si="7"/>
        <v>0.5</v>
      </c>
      <c r="R68" s="370">
        <f t="shared" si="0"/>
        <v>0</v>
      </c>
      <c r="S68" s="366">
        <f t="shared" si="8"/>
        <v>0</v>
      </c>
      <c r="T68" s="366">
        <v>0</v>
      </c>
      <c r="U68" s="370">
        <f t="shared" si="5"/>
        <v>0</v>
      </c>
      <c r="V68" s="370"/>
      <c r="W68" s="372"/>
      <c r="X68" s="370"/>
      <c r="Y68" s="370"/>
      <c r="Z68" s="370"/>
      <c r="AA68" s="370"/>
      <c r="AB68" s="370"/>
      <c r="AC68" s="370"/>
      <c r="AD68" s="370"/>
      <c r="AE68" s="370"/>
      <c r="AF68" s="370"/>
      <c r="AG68" s="370"/>
      <c r="AH68" s="370"/>
      <c r="AI68" s="370"/>
      <c r="AJ68" s="366"/>
      <c r="AK68" s="366"/>
      <c r="AL68" s="360"/>
      <c r="AM68" s="305" t="s">
        <v>823</v>
      </c>
      <c r="AN68" s="305"/>
      <c r="AO68" s="305"/>
      <c r="AP68" s="305"/>
      <c r="AQ68" s="305"/>
      <c r="AR68" s="305"/>
      <c r="AS68" s="305"/>
      <c r="AT68" s="305"/>
      <c r="AU68" s="305"/>
      <c r="AV68" s="305"/>
    </row>
    <row r="69" spans="1:48" s="306" customFormat="1" ht="60" hidden="1">
      <c r="A69" s="308" t="s">
        <v>271</v>
      </c>
      <c r="B69" s="353" t="s">
        <v>676</v>
      </c>
      <c r="C69" s="283" t="s">
        <v>797</v>
      </c>
      <c r="D69" s="284"/>
      <c r="E69" s="284"/>
      <c r="F69" s="284"/>
      <c r="G69" s="284"/>
      <c r="H69" s="284"/>
      <c r="I69" s="284"/>
      <c r="J69" s="366">
        <v>5</v>
      </c>
      <c r="K69" s="370">
        <f t="shared" si="6"/>
        <v>5.3191489361702136</v>
      </c>
      <c r="L69" s="371">
        <v>75</v>
      </c>
      <c r="M69" s="371">
        <v>0</v>
      </c>
      <c r="N69" s="366">
        <f t="shared" si="2"/>
        <v>5</v>
      </c>
      <c r="O69" s="370">
        <f t="shared" si="3"/>
        <v>0</v>
      </c>
      <c r="P69" s="370">
        <f t="shared" si="4"/>
        <v>0</v>
      </c>
      <c r="Q69" s="366">
        <f t="shared" si="7"/>
        <v>5</v>
      </c>
      <c r="R69" s="370">
        <f t="shared" si="0"/>
        <v>0</v>
      </c>
      <c r="S69" s="366">
        <f t="shared" si="8"/>
        <v>0</v>
      </c>
      <c r="T69" s="366">
        <v>0</v>
      </c>
      <c r="U69" s="370">
        <f t="shared" si="5"/>
        <v>0</v>
      </c>
      <c r="V69" s="370"/>
      <c r="W69" s="372"/>
      <c r="X69" s="370"/>
      <c r="Y69" s="370"/>
      <c r="Z69" s="370"/>
      <c r="AA69" s="370"/>
      <c r="AB69" s="370"/>
      <c r="AC69" s="370"/>
      <c r="AD69" s="370"/>
      <c r="AE69" s="370"/>
      <c r="AF69" s="370"/>
      <c r="AG69" s="370"/>
      <c r="AH69" s="370"/>
      <c r="AI69" s="370"/>
      <c r="AJ69" s="366"/>
      <c r="AK69" s="366"/>
      <c r="AL69" s="360"/>
      <c r="AM69" s="305" t="s">
        <v>823</v>
      </c>
      <c r="AN69" s="305"/>
      <c r="AO69" s="305"/>
      <c r="AP69" s="305"/>
      <c r="AQ69" s="305"/>
      <c r="AR69" s="305"/>
      <c r="AS69" s="305"/>
      <c r="AT69" s="305"/>
      <c r="AU69" s="305"/>
      <c r="AV69" s="305"/>
    </row>
    <row r="70" spans="1:48" s="306" customFormat="1" ht="58.5" hidden="1">
      <c r="A70" s="308" t="s">
        <v>273</v>
      </c>
      <c r="B70" s="354" t="s">
        <v>677</v>
      </c>
      <c r="C70" s="283" t="s">
        <v>797</v>
      </c>
      <c r="D70" s="284"/>
      <c r="E70" s="284"/>
      <c r="F70" s="284"/>
      <c r="G70" s="284"/>
      <c r="H70" s="284"/>
      <c r="I70" s="284"/>
      <c r="J70" s="366">
        <v>1.5</v>
      </c>
      <c r="K70" s="370">
        <f t="shared" si="6"/>
        <v>0.85106382978723427</v>
      </c>
      <c r="L70" s="371">
        <v>12</v>
      </c>
      <c r="M70" s="371">
        <v>0</v>
      </c>
      <c r="N70" s="366">
        <f t="shared" si="2"/>
        <v>1.5</v>
      </c>
      <c r="O70" s="370">
        <f t="shared" si="3"/>
        <v>0</v>
      </c>
      <c r="P70" s="370">
        <f t="shared" si="4"/>
        <v>0</v>
      </c>
      <c r="Q70" s="366">
        <f t="shared" si="7"/>
        <v>1.5</v>
      </c>
      <c r="R70" s="370">
        <f t="shared" si="0"/>
        <v>0</v>
      </c>
      <c r="S70" s="366">
        <f t="shared" si="8"/>
        <v>0</v>
      </c>
      <c r="T70" s="366">
        <v>0</v>
      </c>
      <c r="U70" s="370">
        <f t="shared" si="5"/>
        <v>0</v>
      </c>
      <c r="V70" s="370"/>
      <c r="W70" s="372"/>
      <c r="X70" s="370"/>
      <c r="Y70" s="370"/>
      <c r="Z70" s="370"/>
      <c r="AA70" s="370"/>
      <c r="AB70" s="370"/>
      <c r="AC70" s="370"/>
      <c r="AD70" s="370"/>
      <c r="AE70" s="370"/>
      <c r="AF70" s="370"/>
      <c r="AG70" s="370"/>
      <c r="AH70" s="370"/>
      <c r="AI70" s="370"/>
      <c r="AJ70" s="366"/>
      <c r="AK70" s="366"/>
      <c r="AL70" s="360"/>
      <c r="AM70" s="305" t="s">
        <v>823</v>
      </c>
      <c r="AN70" s="305"/>
      <c r="AO70" s="305"/>
      <c r="AP70" s="305"/>
      <c r="AQ70" s="305"/>
      <c r="AR70" s="305"/>
      <c r="AS70" s="305"/>
      <c r="AT70" s="305"/>
      <c r="AU70" s="305"/>
      <c r="AV70" s="305"/>
    </row>
    <row r="71" spans="1:48" s="306" customFormat="1" ht="60" hidden="1">
      <c r="A71" s="308" t="s">
        <v>678</v>
      </c>
      <c r="B71" s="353" t="s">
        <v>679</v>
      </c>
      <c r="C71" s="283" t="s">
        <v>797</v>
      </c>
      <c r="D71" s="284"/>
      <c r="E71" s="284"/>
      <c r="F71" s="284"/>
      <c r="G71" s="284"/>
      <c r="H71" s="284"/>
      <c r="I71" s="284"/>
      <c r="J71" s="366">
        <v>1</v>
      </c>
      <c r="K71" s="370">
        <f t="shared" si="6"/>
        <v>7.0921985815602856E-2</v>
      </c>
      <c r="L71" s="371">
        <v>1</v>
      </c>
      <c r="M71" s="371">
        <v>0</v>
      </c>
      <c r="N71" s="366">
        <f t="shared" si="2"/>
        <v>1</v>
      </c>
      <c r="O71" s="370">
        <f t="shared" si="3"/>
        <v>0</v>
      </c>
      <c r="P71" s="370">
        <f t="shared" si="4"/>
        <v>0</v>
      </c>
      <c r="Q71" s="366">
        <f t="shared" si="7"/>
        <v>1</v>
      </c>
      <c r="R71" s="370">
        <f t="shared" si="0"/>
        <v>0</v>
      </c>
      <c r="S71" s="366">
        <f t="shared" si="8"/>
        <v>0</v>
      </c>
      <c r="T71" s="366">
        <v>0</v>
      </c>
      <c r="U71" s="370">
        <f t="shared" si="5"/>
        <v>0</v>
      </c>
      <c r="V71" s="370"/>
      <c r="W71" s="372"/>
      <c r="X71" s="370"/>
      <c r="Y71" s="370"/>
      <c r="Z71" s="370"/>
      <c r="AA71" s="370"/>
      <c r="AB71" s="370"/>
      <c r="AC71" s="370"/>
      <c r="AD71" s="370"/>
      <c r="AE71" s="370"/>
      <c r="AF71" s="370"/>
      <c r="AG71" s="370"/>
      <c r="AH71" s="370"/>
      <c r="AI71" s="370"/>
      <c r="AJ71" s="366"/>
      <c r="AK71" s="366"/>
      <c r="AL71" s="360"/>
      <c r="AM71" s="305" t="s">
        <v>823</v>
      </c>
      <c r="AN71" s="305"/>
      <c r="AO71" s="305"/>
      <c r="AP71" s="305"/>
      <c r="AQ71" s="305"/>
      <c r="AR71" s="305"/>
      <c r="AS71" s="305"/>
      <c r="AT71" s="305"/>
      <c r="AU71" s="305"/>
      <c r="AV71" s="305"/>
    </row>
    <row r="72" spans="1:48" s="306" customFormat="1" ht="60" hidden="1">
      <c r="A72" s="308" t="s">
        <v>277</v>
      </c>
      <c r="B72" s="353" t="s">
        <v>680</v>
      </c>
      <c r="C72" s="283" t="s">
        <v>797</v>
      </c>
      <c r="D72" s="284"/>
      <c r="E72" s="284"/>
      <c r="F72" s="284"/>
      <c r="G72" s="284"/>
      <c r="H72" s="284"/>
      <c r="I72" s="284"/>
      <c r="J72" s="366">
        <v>5</v>
      </c>
      <c r="K72" s="370">
        <f t="shared" si="6"/>
        <v>7.0921985815602856E-2</v>
      </c>
      <c r="L72" s="371">
        <v>1</v>
      </c>
      <c r="M72" s="371">
        <v>0</v>
      </c>
      <c r="N72" s="366">
        <f t="shared" si="2"/>
        <v>5</v>
      </c>
      <c r="O72" s="370">
        <f t="shared" si="3"/>
        <v>0</v>
      </c>
      <c r="P72" s="370">
        <f t="shared" si="4"/>
        <v>0</v>
      </c>
      <c r="Q72" s="366">
        <f t="shared" si="7"/>
        <v>5</v>
      </c>
      <c r="R72" s="370">
        <f t="shared" si="0"/>
        <v>0</v>
      </c>
      <c r="S72" s="366">
        <f t="shared" si="8"/>
        <v>0</v>
      </c>
      <c r="T72" s="366">
        <v>0</v>
      </c>
      <c r="U72" s="370">
        <f t="shared" si="5"/>
        <v>0</v>
      </c>
      <c r="V72" s="370"/>
      <c r="W72" s="372"/>
      <c r="X72" s="370"/>
      <c r="Y72" s="370"/>
      <c r="Z72" s="370"/>
      <c r="AA72" s="370"/>
      <c r="AB72" s="370"/>
      <c r="AC72" s="370"/>
      <c r="AD72" s="370"/>
      <c r="AE72" s="370"/>
      <c r="AF72" s="370"/>
      <c r="AG72" s="370"/>
      <c r="AH72" s="370"/>
      <c r="AI72" s="370"/>
      <c r="AJ72" s="366"/>
      <c r="AK72" s="366"/>
      <c r="AL72" s="360"/>
      <c r="AM72" s="305" t="s">
        <v>823</v>
      </c>
      <c r="AN72" s="305"/>
      <c r="AO72" s="305"/>
      <c r="AP72" s="305"/>
      <c r="AQ72" s="305"/>
      <c r="AR72" s="305"/>
      <c r="AS72" s="305"/>
      <c r="AT72" s="305"/>
      <c r="AU72" s="305"/>
      <c r="AV72" s="305"/>
    </row>
    <row r="73" spans="1:48" s="306" customFormat="1" ht="34.9" hidden="1" customHeight="1">
      <c r="A73" s="308" t="s">
        <v>279</v>
      </c>
      <c r="B73" s="364" t="s">
        <v>681</v>
      </c>
      <c r="C73" s="283" t="s">
        <v>797</v>
      </c>
      <c r="D73" s="284"/>
      <c r="E73" s="284"/>
      <c r="F73" s="284"/>
      <c r="G73" s="284"/>
      <c r="H73" s="284"/>
      <c r="I73" s="284"/>
      <c r="J73" s="366">
        <v>24.75</v>
      </c>
      <c r="K73" s="370">
        <f t="shared" si="6"/>
        <v>3.5460992907801421</v>
      </c>
      <c r="L73" s="371">
        <v>50</v>
      </c>
      <c r="M73" s="371">
        <v>25</v>
      </c>
      <c r="N73" s="366">
        <f t="shared" si="2"/>
        <v>24.75</v>
      </c>
      <c r="O73" s="370">
        <f t="shared" si="3"/>
        <v>3.5460992907801421</v>
      </c>
      <c r="P73" s="370">
        <f t="shared" si="4"/>
        <v>25</v>
      </c>
      <c r="Q73" s="366">
        <f t="shared" si="7"/>
        <v>24.75</v>
      </c>
      <c r="R73" s="370">
        <f t="shared" si="0"/>
        <v>3.5460992907801421</v>
      </c>
      <c r="S73" s="366">
        <f t="shared" si="8"/>
        <v>100</v>
      </c>
      <c r="T73" s="366">
        <v>25</v>
      </c>
      <c r="U73" s="370">
        <f t="shared" si="5"/>
        <v>100</v>
      </c>
      <c r="V73" s="370"/>
      <c r="W73" s="372"/>
      <c r="X73" s="370"/>
      <c r="Y73" s="370"/>
      <c r="Z73" s="370"/>
      <c r="AA73" s="370"/>
      <c r="AB73" s="370"/>
      <c r="AC73" s="370"/>
      <c r="AD73" s="370"/>
      <c r="AE73" s="370"/>
      <c r="AF73" s="370"/>
      <c r="AG73" s="370"/>
      <c r="AH73" s="370"/>
      <c r="AI73" s="370"/>
      <c r="AJ73" s="366"/>
      <c r="AK73" s="366"/>
      <c r="AL73" s="360"/>
      <c r="AM73" s="305" t="s">
        <v>823</v>
      </c>
      <c r="AN73" s="305"/>
      <c r="AO73" s="305"/>
      <c r="AP73" s="305"/>
      <c r="AQ73" s="305"/>
      <c r="AR73" s="305"/>
      <c r="AS73" s="305"/>
      <c r="AT73" s="305"/>
      <c r="AU73" s="305"/>
      <c r="AV73" s="305"/>
    </row>
    <row r="74" spans="1:48" s="306" customFormat="1" ht="58.5" hidden="1">
      <c r="A74" s="308" t="s">
        <v>281</v>
      </c>
      <c r="B74" s="354" t="s">
        <v>807</v>
      </c>
      <c r="C74" s="283" t="s">
        <v>797</v>
      </c>
      <c r="D74" s="284"/>
      <c r="E74" s="284"/>
      <c r="F74" s="284"/>
      <c r="G74" s="284"/>
      <c r="H74" s="284"/>
      <c r="I74" s="284"/>
      <c r="J74" s="366">
        <v>3</v>
      </c>
      <c r="K74" s="370">
        <f t="shared" si="6"/>
        <v>0.85106382978723427</v>
      </c>
      <c r="L74" s="371">
        <v>12</v>
      </c>
      <c r="M74" s="371">
        <v>6</v>
      </c>
      <c r="N74" s="366">
        <f t="shared" si="2"/>
        <v>3</v>
      </c>
      <c r="O74" s="370">
        <f t="shared" si="3"/>
        <v>0.85106382978723427</v>
      </c>
      <c r="P74" s="370">
        <f t="shared" si="4"/>
        <v>6</v>
      </c>
      <c r="Q74" s="366">
        <f t="shared" si="7"/>
        <v>3</v>
      </c>
      <c r="R74" s="370">
        <f t="shared" si="0"/>
        <v>0.85106382978723427</v>
      </c>
      <c r="S74" s="366">
        <f t="shared" si="8"/>
        <v>100</v>
      </c>
      <c r="T74" s="366">
        <v>5.74</v>
      </c>
      <c r="U74" s="370">
        <f t="shared" si="5"/>
        <v>95.666666666666671</v>
      </c>
      <c r="V74" s="370"/>
      <c r="W74" s="372"/>
      <c r="X74" s="370"/>
      <c r="Y74" s="370"/>
      <c r="Z74" s="370"/>
      <c r="AA74" s="370"/>
      <c r="AB74" s="370"/>
      <c r="AC74" s="370"/>
      <c r="AD74" s="370"/>
      <c r="AE74" s="370"/>
      <c r="AF74" s="370"/>
      <c r="AG74" s="370"/>
      <c r="AH74" s="370"/>
      <c r="AI74" s="370"/>
      <c r="AJ74" s="366"/>
      <c r="AK74" s="366"/>
      <c r="AL74" s="360"/>
      <c r="AM74" s="305" t="s">
        <v>823</v>
      </c>
      <c r="AN74" s="305"/>
      <c r="AO74" s="305"/>
      <c r="AP74" s="305"/>
      <c r="AQ74" s="305"/>
      <c r="AR74" s="305"/>
      <c r="AS74" s="305"/>
      <c r="AT74" s="305"/>
      <c r="AU74" s="305"/>
      <c r="AV74" s="305"/>
    </row>
    <row r="75" spans="1:48" s="306" customFormat="1" ht="39" hidden="1">
      <c r="A75" s="308" t="s">
        <v>285</v>
      </c>
      <c r="B75" s="354" t="s">
        <v>683</v>
      </c>
      <c r="C75" s="283" t="s">
        <v>797</v>
      </c>
      <c r="D75" s="284"/>
      <c r="E75" s="284"/>
      <c r="F75" s="284"/>
      <c r="G75" s="284"/>
      <c r="H75" s="284"/>
      <c r="I75" s="284"/>
      <c r="J75" s="366">
        <v>2</v>
      </c>
      <c r="K75" s="370">
        <f t="shared" si="6"/>
        <v>0.35460992907801425</v>
      </c>
      <c r="L75" s="371">
        <v>5</v>
      </c>
      <c r="M75" s="371">
        <v>2.5</v>
      </c>
      <c r="N75" s="366">
        <f t="shared" si="2"/>
        <v>2</v>
      </c>
      <c r="O75" s="370">
        <f t="shared" si="3"/>
        <v>0.35460992907801425</v>
      </c>
      <c r="P75" s="370">
        <f t="shared" si="4"/>
        <v>2.5</v>
      </c>
      <c r="Q75" s="366">
        <f t="shared" si="7"/>
        <v>2</v>
      </c>
      <c r="R75" s="370">
        <f t="shared" si="0"/>
        <v>0.35460992907801425</v>
      </c>
      <c r="S75" s="366">
        <f t="shared" si="8"/>
        <v>100</v>
      </c>
      <c r="T75" s="366">
        <v>2.48</v>
      </c>
      <c r="U75" s="370">
        <f t="shared" si="5"/>
        <v>99.2</v>
      </c>
      <c r="V75" s="370"/>
      <c r="W75" s="372"/>
      <c r="X75" s="370"/>
      <c r="Y75" s="370"/>
      <c r="Z75" s="370"/>
      <c r="AA75" s="370"/>
      <c r="AB75" s="370"/>
      <c r="AC75" s="370"/>
      <c r="AD75" s="370"/>
      <c r="AE75" s="370"/>
      <c r="AF75" s="370"/>
      <c r="AG75" s="370"/>
      <c r="AH75" s="370"/>
      <c r="AI75" s="370"/>
      <c r="AJ75" s="366"/>
      <c r="AK75" s="366"/>
      <c r="AL75" s="360"/>
      <c r="AM75" s="305" t="s">
        <v>823</v>
      </c>
      <c r="AN75" s="305"/>
      <c r="AO75" s="305"/>
      <c r="AP75" s="305"/>
      <c r="AQ75" s="305"/>
      <c r="AR75" s="305"/>
      <c r="AS75" s="305"/>
      <c r="AT75" s="305"/>
      <c r="AU75" s="305"/>
      <c r="AV75" s="305"/>
    </row>
    <row r="76" spans="1:48" s="306" customFormat="1" ht="40.5" hidden="1">
      <c r="A76" s="308" t="s">
        <v>287</v>
      </c>
      <c r="B76" s="353" t="s">
        <v>684</v>
      </c>
      <c r="C76" s="283" t="s">
        <v>797</v>
      </c>
      <c r="D76" s="284"/>
      <c r="E76" s="284"/>
      <c r="F76" s="284"/>
      <c r="G76" s="284"/>
      <c r="H76" s="284"/>
      <c r="I76" s="284"/>
      <c r="J76" s="366">
        <v>3</v>
      </c>
      <c r="K76" s="370">
        <f t="shared" si="6"/>
        <v>0.31914893617021284</v>
      </c>
      <c r="L76" s="371">
        <v>4.5</v>
      </c>
      <c r="M76" s="371">
        <v>0</v>
      </c>
      <c r="N76" s="366">
        <f t="shared" si="2"/>
        <v>3</v>
      </c>
      <c r="O76" s="370">
        <f t="shared" si="3"/>
        <v>0</v>
      </c>
      <c r="P76" s="370">
        <f t="shared" si="4"/>
        <v>0</v>
      </c>
      <c r="Q76" s="366">
        <f t="shared" si="7"/>
        <v>3</v>
      </c>
      <c r="R76" s="370">
        <f t="shared" si="0"/>
        <v>0</v>
      </c>
      <c r="S76" s="366">
        <f t="shared" si="8"/>
        <v>0</v>
      </c>
      <c r="T76" s="366">
        <v>0</v>
      </c>
      <c r="U76" s="370">
        <f t="shared" si="5"/>
        <v>0</v>
      </c>
      <c r="V76" s="370"/>
      <c r="W76" s="372"/>
      <c r="X76" s="370"/>
      <c r="Y76" s="370"/>
      <c r="Z76" s="370"/>
      <c r="AA76" s="370"/>
      <c r="AB76" s="370"/>
      <c r="AC76" s="370"/>
      <c r="AD76" s="370"/>
      <c r="AE76" s="370"/>
      <c r="AF76" s="370"/>
      <c r="AG76" s="370"/>
      <c r="AH76" s="370"/>
      <c r="AI76" s="370"/>
      <c r="AJ76" s="366"/>
      <c r="AK76" s="366"/>
      <c r="AL76" s="360"/>
      <c r="AM76" s="305" t="s">
        <v>823</v>
      </c>
      <c r="AN76" s="305"/>
      <c r="AO76" s="305"/>
      <c r="AP76" s="305"/>
      <c r="AQ76" s="305"/>
      <c r="AR76" s="305"/>
      <c r="AS76" s="305"/>
      <c r="AT76" s="305"/>
      <c r="AU76" s="305"/>
      <c r="AV76" s="305"/>
    </row>
    <row r="77" spans="1:48" s="306" customFormat="1" ht="58.5" hidden="1">
      <c r="A77" s="308" t="s">
        <v>289</v>
      </c>
      <c r="B77" s="355" t="s">
        <v>685</v>
      </c>
      <c r="C77" s="283" t="s">
        <v>797</v>
      </c>
      <c r="D77" s="284"/>
      <c r="E77" s="284"/>
      <c r="F77" s="284"/>
      <c r="G77" s="284"/>
      <c r="H77" s="284"/>
      <c r="I77" s="284"/>
      <c r="J77" s="366">
        <v>3</v>
      </c>
      <c r="K77" s="370">
        <f t="shared" si="6"/>
        <v>0.31914893617021284</v>
      </c>
      <c r="L77" s="371">
        <v>4.5</v>
      </c>
      <c r="M77" s="371">
        <v>4.5</v>
      </c>
      <c r="N77" s="366">
        <f t="shared" si="2"/>
        <v>3</v>
      </c>
      <c r="O77" s="370">
        <f t="shared" si="3"/>
        <v>0.63829787234042568</v>
      </c>
      <c r="P77" s="370">
        <f t="shared" si="4"/>
        <v>4.5</v>
      </c>
      <c r="Q77" s="366">
        <f t="shared" si="7"/>
        <v>3</v>
      </c>
      <c r="R77" s="370">
        <f t="shared" si="0"/>
        <v>0.63829787234042568</v>
      </c>
      <c r="S77" s="366">
        <f t="shared" si="8"/>
        <v>100</v>
      </c>
      <c r="T77" s="366">
        <v>4.4800000000000004</v>
      </c>
      <c r="U77" s="370">
        <f t="shared" si="5"/>
        <v>99.555555555555557</v>
      </c>
      <c r="V77" s="370"/>
      <c r="W77" s="372"/>
      <c r="X77" s="370"/>
      <c r="Y77" s="370"/>
      <c r="Z77" s="370"/>
      <c r="AA77" s="370"/>
      <c r="AB77" s="370"/>
      <c r="AC77" s="370"/>
      <c r="AD77" s="370"/>
      <c r="AE77" s="370"/>
      <c r="AF77" s="370"/>
      <c r="AG77" s="370"/>
      <c r="AH77" s="370"/>
      <c r="AI77" s="370"/>
      <c r="AJ77" s="366"/>
      <c r="AK77" s="366"/>
      <c r="AL77" s="360"/>
      <c r="AM77" s="305" t="s">
        <v>823</v>
      </c>
      <c r="AN77" s="305"/>
      <c r="AO77" s="305"/>
      <c r="AP77" s="305"/>
      <c r="AQ77" s="305"/>
      <c r="AR77" s="305"/>
      <c r="AS77" s="305"/>
      <c r="AT77" s="305"/>
      <c r="AU77" s="305"/>
      <c r="AV77" s="305"/>
    </row>
    <row r="78" spans="1:48" s="306" customFormat="1" ht="33.6" hidden="1" customHeight="1">
      <c r="A78" s="308" t="s">
        <v>598</v>
      </c>
      <c r="B78" s="365" t="s">
        <v>686</v>
      </c>
      <c r="C78" s="340" t="s">
        <v>794</v>
      </c>
      <c r="D78" s="284"/>
      <c r="E78" s="284"/>
      <c r="F78" s="284"/>
      <c r="G78" s="284"/>
      <c r="H78" s="284"/>
      <c r="I78" s="284"/>
      <c r="J78" s="366">
        <v>3.6</v>
      </c>
      <c r="K78" s="370">
        <f t="shared" si="6"/>
        <v>0.7092198581560285</v>
      </c>
      <c r="L78" s="371">
        <v>10</v>
      </c>
      <c r="M78" s="371">
        <v>9.5</v>
      </c>
      <c r="N78" s="366">
        <f t="shared" si="2"/>
        <v>3.6</v>
      </c>
      <c r="O78" s="370">
        <f t="shared" si="3"/>
        <v>1.3475177304964541</v>
      </c>
      <c r="P78" s="370">
        <f t="shared" si="4"/>
        <v>9.5</v>
      </c>
      <c r="Q78" s="366">
        <f t="shared" si="7"/>
        <v>3.6</v>
      </c>
      <c r="R78" s="370">
        <f t="shared" si="0"/>
        <v>1.3475177304964541</v>
      </c>
      <c r="S78" s="366">
        <f t="shared" si="8"/>
        <v>100</v>
      </c>
      <c r="T78" s="366">
        <v>9.4499999999999993</v>
      </c>
      <c r="U78" s="370">
        <f t="shared" si="5"/>
        <v>99.473684210526301</v>
      </c>
      <c r="V78" s="370"/>
      <c r="W78" s="372"/>
      <c r="X78" s="370"/>
      <c r="Y78" s="370"/>
      <c r="Z78" s="370"/>
      <c r="AA78" s="370"/>
      <c r="AB78" s="370"/>
      <c r="AC78" s="370"/>
      <c r="AD78" s="370"/>
      <c r="AE78" s="370"/>
      <c r="AF78" s="370"/>
      <c r="AG78" s="370"/>
      <c r="AH78" s="370"/>
      <c r="AI78" s="370"/>
      <c r="AJ78" s="366"/>
      <c r="AK78" s="366"/>
      <c r="AL78" s="360"/>
      <c r="AM78" s="305" t="s">
        <v>823</v>
      </c>
      <c r="AN78" s="305"/>
      <c r="AO78" s="305"/>
      <c r="AP78" s="305"/>
      <c r="AQ78" s="305"/>
      <c r="AR78" s="305"/>
      <c r="AS78" s="305"/>
      <c r="AT78" s="305"/>
      <c r="AU78" s="305"/>
      <c r="AV78" s="305"/>
    </row>
    <row r="79" spans="1:48" s="306" customFormat="1" ht="40.5" hidden="1">
      <c r="A79" s="308" t="s">
        <v>291</v>
      </c>
      <c r="B79" s="353" t="s">
        <v>687</v>
      </c>
      <c r="C79" s="341" t="s">
        <v>797</v>
      </c>
      <c r="D79" s="284"/>
      <c r="E79" s="284"/>
      <c r="F79" s="284"/>
      <c r="G79" s="284"/>
      <c r="H79" s="284"/>
      <c r="I79" s="284"/>
      <c r="J79" s="366">
        <v>5</v>
      </c>
      <c r="K79" s="370">
        <f t="shared" si="6"/>
        <v>0.35460992907801425</v>
      </c>
      <c r="L79" s="371">
        <v>5</v>
      </c>
      <c r="M79" s="371">
        <v>0</v>
      </c>
      <c r="N79" s="366">
        <f t="shared" si="2"/>
        <v>5</v>
      </c>
      <c r="O79" s="370">
        <f t="shared" si="3"/>
        <v>0</v>
      </c>
      <c r="P79" s="370">
        <f t="shared" si="4"/>
        <v>0</v>
      </c>
      <c r="Q79" s="366">
        <f t="shared" si="7"/>
        <v>5</v>
      </c>
      <c r="R79" s="370">
        <f t="shared" si="0"/>
        <v>0</v>
      </c>
      <c r="S79" s="366">
        <f t="shared" si="8"/>
        <v>0</v>
      </c>
      <c r="T79" s="366">
        <v>0</v>
      </c>
      <c r="U79" s="370">
        <f t="shared" si="5"/>
        <v>0</v>
      </c>
      <c r="V79" s="370"/>
      <c r="W79" s="372"/>
      <c r="X79" s="370"/>
      <c r="Y79" s="370"/>
      <c r="Z79" s="370"/>
      <c r="AA79" s="370"/>
      <c r="AB79" s="370"/>
      <c r="AC79" s="370"/>
      <c r="AD79" s="370"/>
      <c r="AE79" s="370"/>
      <c r="AF79" s="370"/>
      <c r="AG79" s="370"/>
      <c r="AH79" s="370"/>
      <c r="AI79" s="370"/>
      <c r="AJ79" s="366"/>
      <c r="AK79" s="366"/>
      <c r="AL79" s="360"/>
      <c r="AM79" s="305" t="s">
        <v>823</v>
      </c>
      <c r="AN79" s="305"/>
      <c r="AO79" s="305"/>
      <c r="AP79" s="305"/>
      <c r="AQ79" s="305"/>
      <c r="AR79" s="305"/>
      <c r="AS79" s="305"/>
      <c r="AT79" s="305"/>
      <c r="AU79" s="305"/>
      <c r="AV79" s="305"/>
    </row>
    <row r="80" spans="1:48" s="306" customFormat="1" ht="40.5" hidden="1">
      <c r="A80" s="308" t="s">
        <v>293</v>
      </c>
      <c r="B80" s="353" t="s">
        <v>688</v>
      </c>
      <c r="C80" s="341" t="s">
        <v>797</v>
      </c>
      <c r="D80" s="284"/>
      <c r="E80" s="284"/>
      <c r="F80" s="284"/>
      <c r="G80" s="284"/>
      <c r="H80" s="284"/>
      <c r="I80" s="284"/>
      <c r="J80" s="366">
        <v>3</v>
      </c>
      <c r="K80" s="370">
        <f t="shared" si="6"/>
        <v>0.31914893617021284</v>
      </c>
      <c r="L80" s="371">
        <v>4.5</v>
      </c>
      <c r="M80" s="371">
        <v>0</v>
      </c>
      <c r="N80" s="366">
        <f t="shared" si="2"/>
        <v>3</v>
      </c>
      <c r="O80" s="370">
        <f t="shared" si="3"/>
        <v>0</v>
      </c>
      <c r="P80" s="370">
        <f t="shared" si="4"/>
        <v>0</v>
      </c>
      <c r="Q80" s="366">
        <f t="shared" si="7"/>
        <v>3</v>
      </c>
      <c r="R80" s="370">
        <f t="shared" si="0"/>
        <v>0</v>
      </c>
      <c r="S80" s="366">
        <f t="shared" si="8"/>
        <v>0</v>
      </c>
      <c r="T80" s="366">
        <v>0</v>
      </c>
      <c r="U80" s="370">
        <f t="shared" si="5"/>
        <v>0</v>
      </c>
      <c r="V80" s="370"/>
      <c r="W80" s="372"/>
      <c r="X80" s="370"/>
      <c r="Y80" s="370"/>
      <c r="Z80" s="370"/>
      <c r="AA80" s="370"/>
      <c r="AB80" s="370"/>
      <c r="AC80" s="370"/>
      <c r="AD80" s="370"/>
      <c r="AE80" s="370"/>
      <c r="AF80" s="370"/>
      <c r="AG80" s="370"/>
      <c r="AH80" s="370"/>
      <c r="AI80" s="370"/>
      <c r="AJ80" s="366"/>
      <c r="AK80" s="366"/>
      <c r="AL80" s="360"/>
      <c r="AM80" s="305" t="s">
        <v>823</v>
      </c>
      <c r="AN80" s="305"/>
      <c r="AO80" s="305"/>
      <c r="AP80" s="305"/>
      <c r="AQ80" s="305"/>
      <c r="AR80" s="305"/>
      <c r="AS80" s="305"/>
      <c r="AT80" s="305"/>
      <c r="AU80" s="305"/>
      <c r="AV80" s="305"/>
    </row>
    <row r="81" spans="1:48" s="306" customFormat="1" ht="40.5" hidden="1">
      <c r="A81" s="308" t="s">
        <v>297</v>
      </c>
      <c r="B81" s="353" t="s">
        <v>689</v>
      </c>
      <c r="C81" s="341" t="s">
        <v>797</v>
      </c>
      <c r="D81" s="284"/>
      <c r="E81" s="284"/>
      <c r="F81" s="284"/>
      <c r="G81" s="284"/>
      <c r="H81" s="284"/>
      <c r="I81" s="284"/>
      <c r="J81" s="366">
        <v>7.5</v>
      </c>
      <c r="K81" s="370">
        <f t="shared" si="6"/>
        <v>1.0638297872340428</v>
      </c>
      <c r="L81" s="371">
        <v>15</v>
      </c>
      <c r="M81" s="371">
        <v>0</v>
      </c>
      <c r="N81" s="366">
        <f t="shared" si="2"/>
        <v>7.5</v>
      </c>
      <c r="O81" s="370">
        <f t="shared" si="3"/>
        <v>0</v>
      </c>
      <c r="P81" s="370">
        <f t="shared" si="4"/>
        <v>0</v>
      </c>
      <c r="Q81" s="366">
        <f t="shared" si="7"/>
        <v>7.5</v>
      </c>
      <c r="R81" s="370">
        <f t="shared" si="0"/>
        <v>0</v>
      </c>
      <c r="S81" s="366">
        <f t="shared" si="8"/>
        <v>0</v>
      </c>
      <c r="T81" s="366">
        <v>0</v>
      </c>
      <c r="U81" s="370">
        <f t="shared" si="5"/>
        <v>0</v>
      </c>
      <c r="V81" s="370"/>
      <c r="W81" s="372"/>
      <c r="X81" s="370"/>
      <c r="Y81" s="370"/>
      <c r="Z81" s="370"/>
      <c r="AA81" s="370"/>
      <c r="AB81" s="370"/>
      <c r="AC81" s="370"/>
      <c r="AD81" s="370"/>
      <c r="AE81" s="370"/>
      <c r="AF81" s="370"/>
      <c r="AG81" s="370"/>
      <c r="AH81" s="370"/>
      <c r="AI81" s="370"/>
      <c r="AJ81" s="366"/>
      <c r="AK81" s="366"/>
      <c r="AL81" s="360"/>
      <c r="AM81" s="305" t="s">
        <v>823</v>
      </c>
      <c r="AN81" s="305"/>
      <c r="AO81" s="305"/>
      <c r="AP81" s="305"/>
      <c r="AQ81" s="305"/>
      <c r="AR81" s="305"/>
      <c r="AS81" s="305"/>
      <c r="AT81" s="305"/>
      <c r="AU81" s="305"/>
      <c r="AV81" s="305"/>
    </row>
    <row r="82" spans="1:48" s="306" customFormat="1" ht="40.5" hidden="1">
      <c r="A82" s="308" t="s">
        <v>299</v>
      </c>
      <c r="B82" s="353" t="s">
        <v>690</v>
      </c>
      <c r="C82" s="341" t="s">
        <v>797</v>
      </c>
      <c r="D82" s="284"/>
      <c r="E82" s="284"/>
      <c r="F82" s="284"/>
      <c r="G82" s="284"/>
      <c r="H82" s="284"/>
      <c r="I82" s="284"/>
      <c r="J82" s="366">
        <v>1</v>
      </c>
      <c r="K82" s="370">
        <f t="shared" si="6"/>
        <v>0.14184397163120571</v>
      </c>
      <c r="L82" s="371">
        <v>2</v>
      </c>
      <c r="M82" s="371">
        <v>0</v>
      </c>
      <c r="N82" s="366">
        <f t="shared" si="2"/>
        <v>1</v>
      </c>
      <c r="O82" s="370">
        <f t="shared" si="3"/>
        <v>0</v>
      </c>
      <c r="P82" s="370">
        <f t="shared" si="4"/>
        <v>0</v>
      </c>
      <c r="Q82" s="366">
        <f t="shared" si="7"/>
        <v>1</v>
      </c>
      <c r="R82" s="370">
        <f t="shared" si="0"/>
        <v>0</v>
      </c>
      <c r="S82" s="366">
        <f t="shared" si="8"/>
        <v>0</v>
      </c>
      <c r="T82" s="366">
        <v>0</v>
      </c>
      <c r="U82" s="370">
        <f t="shared" si="5"/>
        <v>0</v>
      </c>
      <c r="V82" s="370"/>
      <c r="W82" s="372"/>
      <c r="X82" s="370"/>
      <c r="Y82" s="370"/>
      <c r="Z82" s="370"/>
      <c r="AA82" s="370"/>
      <c r="AB82" s="370"/>
      <c r="AC82" s="370"/>
      <c r="AD82" s="370"/>
      <c r="AE82" s="370"/>
      <c r="AF82" s="370"/>
      <c r="AG82" s="370"/>
      <c r="AH82" s="370"/>
      <c r="AI82" s="370"/>
      <c r="AJ82" s="366"/>
      <c r="AK82" s="366"/>
      <c r="AL82" s="360"/>
      <c r="AM82" s="305" t="s">
        <v>823</v>
      </c>
      <c r="AN82" s="305"/>
      <c r="AO82" s="305"/>
      <c r="AP82" s="305"/>
      <c r="AQ82" s="305"/>
      <c r="AR82" s="305"/>
      <c r="AS82" s="305"/>
      <c r="AT82" s="305"/>
      <c r="AU82" s="305"/>
      <c r="AV82" s="305"/>
    </row>
    <row r="83" spans="1:48" s="306" customFormat="1" ht="39" hidden="1">
      <c r="A83" s="308" t="s">
        <v>301</v>
      </c>
      <c r="B83" s="304" t="s">
        <v>691</v>
      </c>
      <c r="C83" s="341" t="s">
        <v>797</v>
      </c>
      <c r="D83" s="284"/>
      <c r="E83" s="284"/>
      <c r="F83" s="284"/>
      <c r="G83" s="284"/>
      <c r="H83" s="284"/>
      <c r="I83" s="284"/>
      <c r="J83" s="366">
        <v>1</v>
      </c>
      <c r="K83" s="370">
        <f t="shared" si="6"/>
        <v>2.1276595744680855</v>
      </c>
      <c r="L83" s="371">
        <v>30</v>
      </c>
      <c r="M83" s="371">
        <v>0</v>
      </c>
      <c r="N83" s="366">
        <f t="shared" si="2"/>
        <v>1</v>
      </c>
      <c r="O83" s="370">
        <f t="shared" si="3"/>
        <v>0</v>
      </c>
      <c r="P83" s="370">
        <f t="shared" si="4"/>
        <v>0</v>
      </c>
      <c r="Q83" s="366">
        <f t="shared" si="7"/>
        <v>1</v>
      </c>
      <c r="R83" s="370">
        <f t="shared" si="0"/>
        <v>0</v>
      </c>
      <c r="S83" s="366">
        <f t="shared" si="8"/>
        <v>0</v>
      </c>
      <c r="T83" s="366">
        <v>0</v>
      </c>
      <c r="U83" s="370">
        <f t="shared" si="5"/>
        <v>0</v>
      </c>
      <c r="V83" s="370"/>
      <c r="W83" s="372"/>
      <c r="X83" s="370"/>
      <c r="Y83" s="370"/>
      <c r="Z83" s="370"/>
      <c r="AA83" s="370"/>
      <c r="AB83" s="370"/>
      <c r="AC83" s="370"/>
      <c r="AD83" s="370"/>
      <c r="AE83" s="370"/>
      <c r="AF83" s="370"/>
      <c r="AG83" s="370"/>
      <c r="AH83" s="370"/>
      <c r="AI83" s="370"/>
      <c r="AJ83" s="366"/>
      <c r="AK83" s="366"/>
      <c r="AL83" s="360"/>
      <c r="AM83" s="305" t="s">
        <v>823</v>
      </c>
      <c r="AN83" s="305"/>
      <c r="AO83" s="305"/>
      <c r="AP83" s="305"/>
      <c r="AQ83" s="305"/>
      <c r="AR83" s="305"/>
      <c r="AS83" s="305"/>
      <c r="AT83" s="305"/>
      <c r="AU83" s="305"/>
      <c r="AV83" s="305"/>
    </row>
    <row r="84" spans="1:48" s="306" customFormat="1" ht="58.5" hidden="1">
      <c r="A84" s="308" t="s">
        <v>692</v>
      </c>
      <c r="B84" s="304" t="s">
        <v>693</v>
      </c>
      <c r="C84" s="341" t="s">
        <v>797</v>
      </c>
      <c r="D84" s="284"/>
      <c r="E84" s="284"/>
      <c r="F84" s="284"/>
      <c r="G84" s="284"/>
      <c r="H84" s="284"/>
      <c r="I84" s="284"/>
      <c r="J84" s="366">
        <v>1</v>
      </c>
      <c r="K84" s="370">
        <f t="shared" si="6"/>
        <v>1.418439716312057</v>
      </c>
      <c r="L84" s="371">
        <v>20</v>
      </c>
      <c r="M84" s="371">
        <v>20</v>
      </c>
      <c r="N84" s="366">
        <f t="shared" si="2"/>
        <v>1</v>
      </c>
      <c r="O84" s="370">
        <f t="shared" si="3"/>
        <v>2.836879432624114</v>
      </c>
      <c r="P84" s="370">
        <f t="shared" si="4"/>
        <v>20</v>
      </c>
      <c r="Q84" s="366">
        <f t="shared" si="7"/>
        <v>1</v>
      </c>
      <c r="R84" s="370">
        <f t="shared" si="0"/>
        <v>2.836879432624114</v>
      </c>
      <c r="S84" s="366">
        <f t="shared" si="8"/>
        <v>100</v>
      </c>
      <c r="T84" s="366">
        <v>15.5</v>
      </c>
      <c r="U84" s="370">
        <f t="shared" si="5"/>
        <v>77.5</v>
      </c>
      <c r="V84" s="370"/>
      <c r="W84" s="372"/>
      <c r="X84" s="370"/>
      <c r="Y84" s="370"/>
      <c r="Z84" s="370"/>
      <c r="AA84" s="370"/>
      <c r="AB84" s="370"/>
      <c r="AC84" s="370"/>
      <c r="AD84" s="370"/>
      <c r="AE84" s="370"/>
      <c r="AF84" s="370"/>
      <c r="AG84" s="370"/>
      <c r="AH84" s="370"/>
      <c r="AI84" s="370"/>
      <c r="AJ84" s="366"/>
      <c r="AK84" s="366"/>
      <c r="AL84" s="360"/>
      <c r="AM84" s="305" t="s">
        <v>823</v>
      </c>
      <c r="AN84" s="305"/>
      <c r="AO84" s="305"/>
      <c r="AP84" s="305"/>
      <c r="AQ84" s="305"/>
      <c r="AR84" s="305"/>
      <c r="AS84" s="305"/>
      <c r="AT84" s="305"/>
      <c r="AU84" s="305"/>
      <c r="AV84" s="305"/>
    </row>
    <row r="85" spans="1:48" s="306" customFormat="1" ht="39" hidden="1">
      <c r="A85" s="304" t="s">
        <v>305</v>
      </c>
      <c r="B85" s="304" t="s">
        <v>694</v>
      </c>
      <c r="C85" s="341" t="s">
        <v>797</v>
      </c>
      <c r="D85" s="284"/>
      <c r="E85" s="284"/>
      <c r="F85" s="284"/>
      <c r="G85" s="284"/>
      <c r="H85" s="284"/>
      <c r="I85" s="284"/>
      <c r="J85" s="366">
        <v>5</v>
      </c>
      <c r="K85" s="370">
        <f t="shared" si="6"/>
        <v>0.35460992907801425</v>
      </c>
      <c r="L85" s="371">
        <v>5</v>
      </c>
      <c r="M85" s="371">
        <v>5</v>
      </c>
      <c r="N85" s="366">
        <f t="shared" si="2"/>
        <v>5</v>
      </c>
      <c r="O85" s="370">
        <f t="shared" si="3"/>
        <v>0.7092198581560285</v>
      </c>
      <c r="P85" s="370">
        <f t="shared" si="4"/>
        <v>5</v>
      </c>
      <c r="Q85" s="366">
        <f t="shared" si="7"/>
        <v>5</v>
      </c>
      <c r="R85" s="370">
        <f t="shared" si="0"/>
        <v>0.7092198581560285</v>
      </c>
      <c r="S85" s="366">
        <f t="shared" si="8"/>
        <v>100</v>
      </c>
      <c r="T85" s="366">
        <v>4.87</v>
      </c>
      <c r="U85" s="370">
        <f t="shared" si="5"/>
        <v>97.399999999999991</v>
      </c>
      <c r="V85" s="370"/>
      <c r="W85" s="372"/>
      <c r="X85" s="370"/>
      <c r="Y85" s="370"/>
      <c r="Z85" s="370"/>
      <c r="AA85" s="370"/>
      <c r="AB85" s="370"/>
      <c r="AC85" s="370"/>
      <c r="AD85" s="370"/>
      <c r="AE85" s="370"/>
      <c r="AF85" s="370"/>
      <c r="AG85" s="370"/>
      <c r="AH85" s="370"/>
      <c r="AI85" s="370"/>
      <c r="AJ85" s="366"/>
      <c r="AK85" s="366"/>
      <c r="AL85" s="360"/>
      <c r="AM85" s="305" t="s">
        <v>823</v>
      </c>
      <c r="AN85" s="305"/>
      <c r="AO85" s="305"/>
      <c r="AP85" s="305"/>
      <c r="AQ85" s="305"/>
      <c r="AR85" s="305"/>
      <c r="AS85" s="305"/>
      <c r="AT85" s="305"/>
      <c r="AU85" s="305"/>
      <c r="AV85" s="305"/>
    </row>
    <row r="86" spans="1:48" s="306" customFormat="1" ht="58.5" hidden="1">
      <c r="A86" s="304" t="s">
        <v>307</v>
      </c>
      <c r="B86" s="304" t="s">
        <v>695</v>
      </c>
      <c r="C86" s="341" t="s">
        <v>797</v>
      </c>
      <c r="D86" s="284"/>
      <c r="E86" s="284"/>
      <c r="F86" s="284"/>
      <c r="G86" s="284"/>
      <c r="H86" s="284"/>
      <c r="I86" s="284"/>
      <c r="J86" s="366">
        <v>1</v>
      </c>
      <c r="K86" s="370">
        <f t="shared" si="6"/>
        <v>1.0638297872340428</v>
      </c>
      <c r="L86" s="371">
        <v>15</v>
      </c>
      <c r="M86" s="371">
        <v>7.5</v>
      </c>
      <c r="N86" s="366">
        <f t="shared" si="2"/>
        <v>1</v>
      </c>
      <c r="O86" s="370">
        <f t="shared" si="3"/>
        <v>1.0638297872340428</v>
      </c>
      <c r="P86" s="370">
        <f t="shared" si="4"/>
        <v>7.5</v>
      </c>
      <c r="Q86" s="366">
        <f t="shared" si="7"/>
        <v>1</v>
      </c>
      <c r="R86" s="370">
        <f t="shared" ref="R86:R134" si="12">IF(N86=0,Q86/J86*K86,Q86/N86*O86)</f>
        <v>1.0638297872340428</v>
      </c>
      <c r="S86" s="366">
        <f t="shared" si="8"/>
        <v>100</v>
      </c>
      <c r="T86" s="366">
        <v>6.93</v>
      </c>
      <c r="U86" s="370">
        <f t="shared" si="5"/>
        <v>92.399999999999991</v>
      </c>
      <c r="V86" s="370"/>
      <c r="W86" s="372"/>
      <c r="X86" s="370"/>
      <c r="Y86" s="370"/>
      <c r="Z86" s="370"/>
      <c r="AA86" s="370"/>
      <c r="AB86" s="370"/>
      <c r="AC86" s="370"/>
      <c r="AD86" s="370"/>
      <c r="AE86" s="370"/>
      <c r="AF86" s="370"/>
      <c r="AG86" s="370"/>
      <c r="AH86" s="370"/>
      <c r="AI86" s="370"/>
      <c r="AJ86" s="366"/>
      <c r="AK86" s="366"/>
      <c r="AL86" s="360"/>
      <c r="AM86" s="305" t="s">
        <v>823</v>
      </c>
      <c r="AN86" s="305"/>
      <c r="AO86" s="305"/>
      <c r="AP86" s="305"/>
      <c r="AQ86" s="305"/>
      <c r="AR86" s="305"/>
      <c r="AS86" s="305"/>
      <c r="AT86" s="305"/>
      <c r="AU86" s="305"/>
      <c r="AV86" s="305"/>
    </row>
    <row r="87" spans="1:48" s="306" customFormat="1" ht="39" hidden="1">
      <c r="A87" s="304" t="s">
        <v>309</v>
      </c>
      <c r="B87" s="304" t="s">
        <v>696</v>
      </c>
      <c r="C87" s="341" t="s">
        <v>797</v>
      </c>
      <c r="D87" s="284"/>
      <c r="E87" s="284"/>
      <c r="F87" s="284"/>
      <c r="G87" s="284"/>
      <c r="H87" s="284"/>
      <c r="I87" s="284"/>
      <c r="J87" s="366">
        <v>1</v>
      </c>
      <c r="K87" s="370">
        <f t="shared" si="6"/>
        <v>7.0921985815602842</v>
      </c>
      <c r="L87" s="371">
        <v>100</v>
      </c>
      <c r="M87" s="371">
        <v>30.5</v>
      </c>
      <c r="N87" s="366">
        <f t="shared" ref="N87:N134" si="13">J87</f>
        <v>1</v>
      </c>
      <c r="O87" s="370">
        <f t="shared" ref="O87:O134" si="14">P87/$P$136*100</f>
        <v>4.3262411347517737</v>
      </c>
      <c r="P87" s="370">
        <f t="shared" ref="P87:P134" si="15">M87</f>
        <v>30.5</v>
      </c>
      <c r="Q87" s="366">
        <f t="shared" si="7"/>
        <v>1</v>
      </c>
      <c r="R87" s="370">
        <f t="shared" si="12"/>
        <v>4.3262411347517737</v>
      </c>
      <c r="S87" s="366">
        <f t="shared" si="8"/>
        <v>100</v>
      </c>
      <c r="T87" s="366">
        <v>30.35</v>
      </c>
      <c r="U87" s="370">
        <f t="shared" ref="U87:U134" si="16">IFERROR(T87/P87*100,0)</f>
        <v>99.508196721311478</v>
      </c>
      <c r="V87" s="370"/>
      <c r="W87" s="372"/>
      <c r="X87" s="370"/>
      <c r="Y87" s="370"/>
      <c r="Z87" s="370"/>
      <c r="AA87" s="370"/>
      <c r="AB87" s="370"/>
      <c r="AC87" s="370"/>
      <c r="AD87" s="370"/>
      <c r="AE87" s="370"/>
      <c r="AF87" s="370"/>
      <c r="AG87" s="370"/>
      <c r="AH87" s="370"/>
      <c r="AI87" s="370"/>
      <c r="AJ87" s="366"/>
      <c r="AK87" s="366"/>
      <c r="AL87" s="360"/>
      <c r="AM87" s="305" t="s">
        <v>823</v>
      </c>
      <c r="AN87" s="305"/>
      <c r="AO87" s="305"/>
      <c r="AP87" s="305"/>
      <c r="AQ87" s="305"/>
      <c r="AR87" s="305"/>
      <c r="AS87" s="305"/>
      <c r="AT87" s="305"/>
      <c r="AU87" s="305"/>
      <c r="AV87" s="305"/>
    </row>
    <row r="88" spans="1:48" s="306" customFormat="1" ht="39" hidden="1">
      <c r="A88" s="304" t="s">
        <v>311</v>
      </c>
      <c r="B88" s="304" t="s">
        <v>697</v>
      </c>
      <c r="C88" s="341" t="s">
        <v>797</v>
      </c>
      <c r="D88" s="284"/>
      <c r="E88" s="284"/>
      <c r="F88" s="284"/>
      <c r="G88" s="284"/>
      <c r="H88" s="284"/>
      <c r="I88" s="284"/>
      <c r="J88" s="366">
        <v>1</v>
      </c>
      <c r="K88" s="370">
        <f t="shared" ref="K88:K134" si="17">(L88/$L$135)*100</f>
        <v>7.0921985815602856E-2</v>
      </c>
      <c r="L88" s="371">
        <v>1</v>
      </c>
      <c r="M88" s="371">
        <v>0</v>
      </c>
      <c r="N88" s="366">
        <f t="shared" si="13"/>
        <v>1</v>
      </c>
      <c r="O88" s="370">
        <f t="shared" si="14"/>
        <v>0</v>
      </c>
      <c r="P88" s="370">
        <f t="shared" si="15"/>
        <v>0</v>
      </c>
      <c r="Q88" s="366">
        <f t="shared" ref="Q88:Q133" si="18">J88</f>
        <v>1</v>
      </c>
      <c r="R88" s="370">
        <f t="shared" si="12"/>
        <v>0</v>
      </c>
      <c r="S88" s="366">
        <f t="shared" si="8"/>
        <v>0</v>
      </c>
      <c r="T88" s="366">
        <v>0</v>
      </c>
      <c r="U88" s="370">
        <f t="shared" si="16"/>
        <v>0</v>
      </c>
      <c r="V88" s="370"/>
      <c r="W88" s="372"/>
      <c r="X88" s="370"/>
      <c r="Y88" s="370"/>
      <c r="Z88" s="370"/>
      <c r="AA88" s="370"/>
      <c r="AB88" s="370"/>
      <c r="AC88" s="370"/>
      <c r="AD88" s="370"/>
      <c r="AE88" s="370"/>
      <c r="AF88" s="370"/>
      <c r="AG88" s="370"/>
      <c r="AH88" s="370"/>
      <c r="AI88" s="370"/>
      <c r="AJ88" s="366"/>
      <c r="AK88" s="366"/>
      <c r="AL88" s="360"/>
      <c r="AM88" s="305" t="s">
        <v>823</v>
      </c>
      <c r="AN88" s="305"/>
      <c r="AO88" s="305"/>
      <c r="AP88" s="305"/>
      <c r="AQ88" s="305"/>
      <c r="AR88" s="305"/>
      <c r="AS88" s="305"/>
      <c r="AT88" s="305"/>
      <c r="AU88" s="305"/>
      <c r="AV88" s="305"/>
    </row>
    <row r="89" spans="1:48" s="306" customFormat="1" ht="39" hidden="1">
      <c r="A89" s="304" t="s">
        <v>313</v>
      </c>
      <c r="B89" s="304" t="s">
        <v>698</v>
      </c>
      <c r="C89" s="341" t="s">
        <v>797</v>
      </c>
      <c r="D89" s="284"/>
      <c r="E89" s="284"/>
      <c r="F89" s="284"/>
      <c r="G89" s="284"/>
      <c r="H89" s="284"/>
      <c r="I89" s="284"/>
      <c r="J89" s="366">
        <v>1</v>
      </c>
      <c r="K89" s="370">
        <f t="shared" si="17"/>
        <v>7.0921985815602856E-2</v>
      </c>
      <c r="L89" s="371">
        <v>1</v>
      </c>
      <c r="M89" s="371">
        <v>0</v>
      </c>
      <c r="N89" s="366">
        <f t="shared" si="13"/>
        <v>1</v>
      </c>
      <c r="O89" s="370">
        <f t="shared" si="14"/>
        <v>0</v>
      </c>
      <c r="P89" s="370">
        <f t="shared" si="15"/>
        <v>0</v>
      </c>
      <c r="Q89" s="366">
        <f t="shared" si="18"/>
        <v>1</v>
      </c>
      <c r="R89" s="370">
        <f t="shared" si="12"/>
        <v>0</v>
      </c>
      <c r="S89" s="366">
        <f t="shared" si="8"/>
        <v>0</v>
      </c>
      <c r="T89" s="366">
        <v>0</v>
      </c>
      <c r="U89" s="370">
        <f t="shared" si="16"/>
        <v>0</v>
      </c>
      <c r="V89" s="370"/>
      <c r="W89" s="372"/>
      <c r="X89" s="370"/>
      <c r="Y89" s="370"/>
      <c r="Z89" s="370"/>
      <c r="AA89" s="370"/>
      <c r="AB89" s="370"/>
      <c r="AC89" s="370"/>
      <c r="AD89" s="370"/>
      <c r="AE89" s="370"/>
      <c r="AF89" s="370"/>
      <c r="AG89" s="370"/>
      <c r="AH89" s="370"/>
      <c r="AI89" s="370"/>
      <c r="AJ89" s="366"/>
      <c r="AK89" s="366"/>
      <c r="AL89" s="360"/>
      <c r="AM89" s="305" t="s">
        <v>823</v>
      </c>
      <c r="AN89" s="305"/>
      <c r="AO89" s="305"/>
      <c r="AP89" s="305"/>
      <c r="AQ89" s="305"/>
      <c r="AR89" s="305"/>
      <c r="AS89" s="305"/>
      <c r="AT89" s="305"/>
      <c r="AU89" s="305"/>
      <c r="AV89" s="305"/>
    </row>
    <row r="90" spans="1:48" s="306" customFormat="1" ht="39" hidden="1">
      <c r="A90" s="304" t="s">
        <v>315</v>
      </c>
      <c r="B90" s="304" t="s">
        <v>699</v>
      </c>
      <c r="C90" s="341" t="s">
        <v>797</v>
      </c>
      <c r="D90" s="284"/>
      <c r="E90" s="284"/>
      <c r="F90" s="284"/>
      <c r="G90" s="284"/>
      <c r="H90" s="284"/>
      <c r="I90" s="284"/>
      <c r="J90" s="366">
        <v>1</v>
      </c>
      <c r="K90" s="370">
        <f t="shared" si="17"/>
        <v>7.0921985815602856E-2</v>
      </c>
      <c r="L90" s="371">
        <v>1</v>
      </c>
      <c r="M90" s="371">
        <v>0</v>
      </c>
      <c r="N90" s="366">
        <f t="shared" si="13"/>
        <v>1</v>
      </c>
      <c r="O90" s="370">
        <f t="shared" si="14"/>
        <v>0</v>
      </c>
      <c r="P90" s="370">
        <f t="shared" si="15"/>
        <v>0</v>
      </c>
      <c r="Q90" s="366">
        <f t="shared" si="18"/>
        <v>1</v>
      </c>
      <c r="R90" s="370">
        <f t="shared" si="12"/>
        <v>0</v>
      </c>
      <c r="S90" s="366">
        <f t="shared" si="8"/>
        <v>0</v>
      </c>
      <c r="T90" s="366">
        <v>0</v>
      </c>
      <c r="U90" s="370">
        <f t="shared" si="16"/>
        <v>0</v>
      </c>
      <c r="V90" s="370"/>
      <c r="W90" s="372"/>
      <c r="X90" s="370"/>
      <c r="Y90" s="370"/>
      <c r="Z90" s="370"/>
      <c r="AA90" s="370"/>
      <c r="AB90" s="370"/>
      <c r="AC90" s="370"/>
      <c r="AD90" s="370"/>
      <c r="AE90" s="370"/>
      <c r="AF90" s="370"/>
      <c r="AG90" s="370"/>
      <c r="AH90" s="370"/>
      <c r="AI90" s="370"/>
      <c r="AJ90" s="366"/>
      <c r="AK90" s="366"/>
      <c r="AL90" s="360"/>
      <c r="AM90" s="305" t="s">
        <v>823</v>
      </c>
      <c r="AN90" s="305"/>
      <c r="AO90" s="305"/>
      <c r="AP90" s="305"/>
      <c r="AQ90" s="305"/>
      <c r="AR90" s="305"/>
      <c r="AS90" s="305"/>
      <c r="AT90" s="305"/>
      <c r="AU90" s="305"/>
      <c r="AV90" s="305"/>
    </row>
    <row r="91" spans="1:48" s="306" customFormat="1" ht="39" hidden="1">
      <c r="A91" s="304" t="s">
        <v>317</v>
      </c>
      <c r="B91" s="304" t="s">
        <v>700</v>
      </c>
      <c r="C91" s="341" t="s">
        <v>797</v>
      </c>
      <c r="D91" s="284"/>
      <c r="E91" s="284"/>
      <c r="F91" s="284"/>
      <c r="G91" s="284"/>
      <c r="H91" s="284"/>
      <c r="I91" s="284"/>
      <c r="J91" s="366">
        <v>1</v>
      </c>
      <c r="K91" s="370">
        <f t="shared" si="17"/>
        <v>7.0921985815602856E-2</v>
      </c>
      <c r="L91" s="371">
        <v>1</v>
      </c>
      <c r="M91" s="371">
        <v>0</v>
      </c>
      <c r="N91" s="366">
        <f t="shared" si="13"/>
        <v>1</v>
      </c>
      <c r="O91" s="370">
        <f t="shared" si="14"/>
        <v>0</v>
      </c>
      <c r="P91" s="370">
        <f t="shared" si="15"/>
        <v>0</v>
      </c>
      <c r="Q91" s="366">
        <f t="shared" si="18"/>
        <v>1</v>
      </c>
      <c r="R91" s="370">
        <f t="shared" si="12"/>
        <v>0</v>
      </c>
      <c r="S91" s="366">
        <f t="shared" si="8"/>
        <v>0</v>
      </c>
      <c r="T91" s="366">
        <v>0</v>
      </c>
      <c r="U91" s="370">
        <f t="shared" si="16"/>
        <v>0</v>
      </c>
      <c r="V91" s="370"/>
      <c r="W91" s="372"/>
      <c r="X91" s="370"/>
      <c r="Y91" s="370"/>
      <c r="Z91" s="370"/>
      <c r="AA91" s="370"/>
      <c r="AB91" s="370"/>
      <c r="AC91" s="370"/>
      <c r="AD91" s="370"/>
      <c r="AE91" s="370"/>
      <c r="AF91" s="370"/>
      <c r="AG91" s="370"/>
      <c r="AH91" s="370"/>
      <c r="AI91" s="370"/>
      <c r="AJ91" s="366"/>
      <c r="AK91" s="366"/>
      <c r="AL91" s="360"/>
      <c r="AM91" s="305" t="s">
        <v>823</v>
      </c>
      <c r="AN91" s="305"/>
      <c r="AO91" s="305"/>
      <c r="AP91" s="305"/>
      <c r="AQ91" s="305"/>
      <c r="AR91" s="305"/>
      <c r="AS91" s="305"/>
      <c r="AT91" s="305"/>
      <c r="AU91" s="305"/>
      <c r="AV91" s="305"/>
    </row>
    <row r="92" spans="1:48" s="306" customFormat="1" ht="58.5" hidden="1">
      <c r="A92" s="304" t="s">
        <v>319</v>
      </c>
      <c r="B92" s="304" t="s">
        <v>701</v>
      </c>
      <c r="C92" s="341" t="s">
        <v>797</v>
      </c>
      <c r="D92" s="284"/>
      <c r="E92" s="284"/>
      <c r="F92" s="284"/>
      <c r="G92" s="284"/>
      <c r="H92" s="284"/>
      <c r="I92" s="284"/>
      <c r="J92" s="366">
        <v>1</v>
      </c>
      <c r="K92" s="370">
        <f t="shared" si="17"/>
        <v>7.0921985815602856E-2</v>
      </c>
      <c r="L92" s="371">
        <v>1</v>
      </c>
      <c r="M92" s="371">
        <v>0</v>
      </c>
      <c r="N92" s="366">
        <f t="shared" si="13"/>
        <v>1</v>
      </c>
      <c r="O92" s="370">
        <f t="shared" si="14"/>
        <v>0</v>
      </c>
      <c r="P92" s="370">
        <f t="shared" si="15"/>
        <v>0</v>
      </c>
      <c r="Q92" s="366">
        <f t="shared" si="18"/>
        <v>1</v>
      </c>
      <c r="R92" s="370">
        <f t="shared" si="12"/>
        <v>0</v>
      </c>
      <c r="S92" s="366">
        <f t="shared" si="8"/>
        <v>0</v>
      </c>
      <c r="T92" s="366">
        <v>0</v>
      </c>
      <c r="U92" s="370">
        <f t="shared" si="16"/>
        <v>0</v>
      </c>
      <c r="V92" s="370"/>
      <c r="W92" s="372"/>
      <c r="X92" s="370"/>
      <c r="Y92" s="370"/>
      <c r="Z92" s="370"/>
      <c r="AA92" s="370"/>
      <c r="AB92" s="370"/>
      <c r="AC92" s="370"/>
      <c r="AD92" s="370"/>
      <c r="AE92" s="370"/>
      <c r="AF92" s="370"/>
      <c r="AG92" s="370"/>
      <c r="AH92" s="370"/>
      <c r="AI92" s="370"/>
      <c r="AJ92" s="366"/>
      <c r="AK92" s="366"/>
      <c r="AL92" s="360"/>
      <c r="AM92" s="305" t="s">
        <v>823</v>
      </c>
      <c r="AN92" s="305"/>
      <c r="AO92" s="305"/>
      <c r="AP92" s="305"/>
      <c r="AQ92" s="305"/>
      <c r="AR92" s="305"/>
      <c r="AS92" s="305"/>
      <c r="AT92" s="305"/>
      <c r="AU92" s="305"/>
      <c r="AV92" s="305"/>
    </row>
    <row r="93" spans="1:48" s="306" customFormat="1" ht="39" hidden="1">
      <c r="A93" s="304" t="s">
        <v>321</v>
      </c>
      <c r="B93" s="304" t="s">
        <v>702</v>
      </c>
      <c r="C93" s="341" t="s">
        <v>797</v>
      </c>
      <c r="D93" s="284"/>
      <c r="E93" s="284"/>
      <c r="F93" s="284"/>
      <c r="G93" s="284"/>
      <c r="H93" s="284"/>
      <c r="I93" s="284"/>
      <c r="J93" s="366">
        <v>20.67</v>
      </c>
      <c r="K93" s="370">
        <f t="shared" si="17"/>
        <v>2.1985815602836882</v>
      </c>
      <c r="L93" s="371">
        <v>31</v>
      </c>
      <c r="M93" s="371">
        <v>20.56</v>
      </c>
      <c r="N93" s="366">
        <f t="shared" si="13"/>
        <v>20.67</v>
      </c>
      <c r="O93" s="370">
        <f t="shared" si="14"/>
        <v>2.9163120567375889</v>
      </c>
      <c r="P93" s="370">
        <f t="shared" si="15"/>
        <v>20.56</v>
      </c>
      <c r="Q93" s="366">
        <f t="shared" si="18"/>
        <v>20.67</v>
      </c>
      <c r="R93" s="370">
        <f t="shared" si="12"/>
        <v>2.9163120567375889</v>
      </c>
      <c r="S93" s="366">
        <f t="shared" si="8"/>
        <v>100</v>
      </c>
      <c r="T93" s="366">
        <v>20.420000000000002</v>
      </c>
      <c r="U93" s="370">
        <f t="shared" si="16"/>
        <v>99.319066147859942</v>
      </c>
      <c r="V93" s="370"/>
      <c r="W93" s="372"/>
      <c r="X93" s="370"/>
      <c r="Y93" s="370"/>
      <c r="Z93" s="370"/>
      <c r="AA93" s="370"/>
      <c r="AB93" s="370"/>
      <c r="AC93" s="370"/>
      <c r="AD93" s="370"/>
      <c r="AE93" s="370"/>
      <c r="AF93" s="370"/>
      <c r="AG93" s="370"/>
      <c r="AH93" s="370"/>
      <c r="AI93" s="370"/>
      <c r="AJ93" s="366"/>
      <c r="AK93" s="366"/>
      <c r="AL93" s="360"/>
      <c r="AM93" s="305" t="s">
        <v>823</v>
      </c>
      <c r="AN93" s="305"/>
      <c r="AO93" s="305"/>
      <c r="AP93" s="305"/>
      <c r="AQ93" s="305"/>
      <c r="AR93" s="305"/>
      <c r="AS93" s="305"/>
      <c r="AT93" s="305"/>
      <c r="AU93" s="305"/>
      <c r="AV93" s="305"/>
    </row>
    <row r="94" spans="1:48" s="306" customFormat="1" ht="39" hidden="1">
      <c r="A94" s="304" t="s">
        <v>325</v>
      </c>
      <c r="B94" s="304" t="s">
        <v>703</v>
      </c>
      <c r="C94" s="341" t="s">
        <v>797</v>
      </c>
      <c r="D94" s="284"/>
      <c r="E94" s="284"/>
      <c r="F94" s="284"/>
      <c r="G94" s="284"/>
      <c r="H94" s="284"/>
      <c r="I94" s="284"/>
      <c r="J94" s="366">
        <v>10</v>
      </c>
      <c r="K94" s="370">
        <f t="shared" si="17"/>
        <v>1.418439716312057</v>
      </c>
      <c r="L94" s="371">
        <v>20</v>
      </c>
      <c r="M94" s="371">
        <v>14.48</v>
      </c>
      <c r="N94" s="366">
        <f t="shared" si="13"/>
        <v>10</v>
      </c>
      <c r="O94" s="370">
        <f t="shared" si="14"/>
        <v>2.0539007092198589</v>
      </c>
      <c r="P94" s="370">
        <f t="shared" si="15"/>
        <v>14.48</v>
      </c>
      <c r="Q94" s="366">
        <f t="shared" si="18"/>
        <v>10</v>
      </c>
      <c r="R94" s="370">
        <f t="shared" si="12"/>
        <v>2.0539007092198589</v>
      </c>
      <c r="S94" s="366">
        <f t="shared" si="8"/>
        <v>100</v>
      </c>
      <c r="T94" s="366">
        <v>14.47</v>
      </c>
      <c r="U94" s="370">
        <f t="shared" si="16"/>
        <v>99.930939226519328</v>
      </c>
      <c r="V94" s="370"/>
      <c r="W94" s="372"/>
      <c r="X94" s="370"/>
      <c r="Y94" s="370"/>
      <c r="Z94" s="370"/>
      <c r="AA94" s="370"/>
      <c r="AB94" s="370"/>
      <c r="AC94" s="370"/>
      <c r="AD94" s="370"/>
      <c r="AE94" s="370"/>
      <c r="AF94" s="370"/>
      <c r="AG94" s="370"/>
      <c r="AH94" s="370"/>
      <c r="AI94" s="370"/>
      <c r="AJ94" s="366"/>
      <c r="AK94" s="366"/>
      <c r="AL94" s="360"/>
      <c r="AM94" s="305" t="s">
        <v>823</v>
      </c>
      <c r="AN94" s="305"/>
      <c r="AO94" s="305"/>
      <c r="AP94" s="305"/>
      <c r="AQ94" s="305"/>
      <c r="AR94" s="305"/>
      <c r="AS94" s="305"/>
      <c r="AT94" s="305"/>
      <c r="AU94" s="305"/>
      <c r="AV94" s="305"/>
    </row>
    <row r="95" spans="1:48" s="306" customFormat="1" ht="39" hidden="1">
      <c r="A95" s="304" t="s">
        <v>818</v>
      </c>
      <c r="B95" s="379" t="s">
        <v>705</v>
      </c>
      <c r="C95" s="283" t="s">
        <v>795</v>
      </c>
      <c r="D95" s="284"/>
      <c r="E95" s="284"/>
      <c r="F95" s="284"/>
      <c r="G95" s="284"/>
      <c r="H95" s="284"/>
      <c r="I95" s="284"/>
      <c r="J95" s="366">
        <v>1</v>
      </c>
      <c r="K95" s="370">
        <f t="shared" si="17"/>
        <v>5.3191489361702136</v>
      </c>
      <c r="L95" s="371">
        <v>75</v>
      </c>
      <c r="M95" s="371">
        <v>73.099999999999994</v>
      </c>
      <c r="N95" s="366">
        <f t="shared" si="13"/>
        <v>1</v>
      </c>
      <c r="O95" s="370">
        <f t="shared" si="14"/>
        <v>10.368794326241137</v>
      </c>
      <c r="P95" s="370">
        <f t="shared" si="15"/>
        <v>73.099999999999994</v>
      </c>
      <c r="Q95" s="366">
        <f t="shared" si="18"/>
        <v>1</v>
      </c>
      <c r="R95" s="370">
        <f t="shared" si="12"/>
        <v>10.368794326241137</v>
      </c>
      <c r="S95" s="366">
        <f t="shared" si="8"/>
        <v>100</v>
      </c>
      <c r="T95" s="366">
        <v>71.7</v>
      </c>
      <c r="U95" s="370">
        <f t="shared" si="16"/>
        <v>98.084815321477436</v>
      </c>
      <c r="V95" s="370"/>
      <c r="W95" s="372"/>
      <c r="X95" s="370"/>
      <c r="Y95" s="370"/>
      <c r="Z95" s="370"/>
      <c r="AA95" s="370"/>
      <c r="AB95" s="370"/>
      <c r="AC95" s="370"/>
      <c r="AD95" s="370"/>
      <c r="AE95" s="370"/>
      <c r="AF95" s="370"/>
      <c r="AG95" s="370"/>
      <c r="AH95" s="370"/>
      <c r="AI95" s="370"/>
      <c r="AJ95" s="366"/>
      <c r="AK95" s="366"/>
      <c r="AL95" s="360"/>
      <c r="AM95" s="305" t="s">
        <v>824</v>
      </c>
      <c r="AN95" s="305"/>
      <c r="AO95" s="305"/>
      <c r="AP95" s="305"/>
      <c r="AQ95" s="305"/>
      <c r="AR95" s="305"/>
      <c r="AS95" s="305"/>
      <c r="AT95" s="305"/>
      <c r="AU95" s="305"/>
      <c r="AV95" s="305"/>
    </row>
    <row r="96" spans="1:48" s="306" customFormat="1" ht="39" hidden="1">
      <c r="A96" s="304" t="s">
        <v>327</v>
      </c>
      <c r="B96" s="304" t="s">
        <v>706</v>
      </c>
      <c r="C96" s="341" t="s">
        <v>797</v>
      </c>
      <c r="D96" s="284"/>
      <c r="E96" s="284"/>
      <c r="F96" s="284"/>
      <c r="G96" s="284"/>
      <c r="H96" s="284"/>
      <c r="I96" s="284"/>
      <c r="J96" s="366">
        <v>1</v>
      </c>
      <c r="K96" s="370">
        <f t="shared" si="17"/>
        <v>7.0921985815602856E-2</v>
      </c>
      <c r="L96" s="371">
        <v>1</v>
      </c>
      <c r="M96" s="371">
        <v>0</v>
      </c>
      <c r="N96" s="366">
        <f t="shared" si="13"/>
        <v>1</v>
      </c>
      <c r="O96" s="370">
        <f t="shared" si="14"/>
        <v>0</v>
      </c>
      <c r="P96" s="370">
        <f t="shared" si="15"/>
        <v>0</v>
      </c>
      <c r="Q96" s="366">
        <f t="shared" si="18"/>
        <v>1</v>
      </c>
      <c r="R96" s="370">
        <f t="shared" si="12"/>
        <v>0</v>
      </c>
      <c r="S96" s="366">
        <f t="shared" ref="S96:S124" si="19">ROUND(IF(O96=0,R96/K96*100,R96/O96*100),2)</f>
        <v>0</v>
      </c>
      <c r="T96" s="366">
        <v>0</v>
      </c>
      <c r="U96" s="370">
        <f t="shared" si="16"/>
        <v>0</v>
      </c>
      <c r="V96" s="370"/>
      <c r="W96" s="372"/>
      <c r="X96" s="370"/>
      <c r="Y96" s="370"/>
      <c r="Z96" s="370"/>
      <c r="AA96" s="370"/>
      <c r="AB96" s="370"/>
      <c r="AC96" s="370"/>
      <c r="AD96" s="370"/>
      <c r="AE96" s="370"/>
      <c r="AF96" s="370"/>
      <c r="AG96" s="370"/>
      <c r="AH96" s="370"/>
      <c r="AI96" s="370"/>
      <c r="AJ96" s="366"/>
      <c r="AK96" s="366"/>
      <c r="AL96" s="360"/>
      <c r="AM96" s="305" t="s">
        <v>823</v>
      </c>
      <c r="AN96" s="305"/>
      <c r="AO96" s="305"/>
      <c r="AP96" s="305"/>
      <c r="AQ96" s="305"/>
      <c r="AR96" s="305"/>
      <c r="AS96" s="305"/>
      <c r="AT96" s="305"/>
      <c r="AU96" s="305"/>
      <c r="AV96" s="305"/>
    </row>
    <row r="97" spans="1:48" s="306" customFormat="1" ht="39" hidden="1">
      <c r="A97" s="304" t="s">
        <v>329</v>
      </c>
      <c r="B97" s="304" t="s">
        <v>707</v>
      </c>
      <c r="C97" s="341" t="s">
        <v>797</v>
      </c>
      <c r="D97" s="284"/>
      <c r="E97" s="284"/>
      <c r="F97" s="284"/>
      <c r="G97" s="284"/>
      <c r="H97" s="284"/>
      <c r="I97" s="284"/>
      <c r="J97" s="366">
        <v>0.5</v>
      </c>
      <c r="K97" s="370">
        <f t="shared" si="17"/>
        <v>3.5460992907801428E-2</v>
      </c>
      <c r="L97" s="371">
        <v>0.5</v>
      </c>
      <c r="M97" s="371">
        <v>0.5</v>
      </c>
      <c r="N97" s="366">
        <f t="shared" si="13"/>
        <v>0.5</v>
      </c>
      <c r="O97" s="370">
        <f t="shared" si="14"/>
        <v>7.0921985815602856E-2</v>
      </c>
      <c r="P97" s="370">
        <f t="shared" si="15"/>
        <v>0.5</v>
      </c>
      <c r="Q97" s="366">
        <f t="shared" si="18"/>
        <v>0.5</v>
      </c>
      <c r="R97" s="370">
        <f t="shared" si="12"/>
        <v>7.0921985815602856E-2</v>
      </c>
      <c r="S97" s="366">
        <f t="shared" si="19"/>
        <v>100</v>
      </c>
      <c r="T97" s="366">
        <v>0.31</v>
      </c>
      <c r="U97" s="370">
        <f t="shared" si="16"/>
        <v>62</v>
      </c>
      <c r="V97" s="370"/>
      <c r="W97" s="372"/>
      <c r="X97" s="370"/>
      <c r="Y97" s="370"/>
      <c r="Z97" s="370"/>
      <c r="AA97" s="370"/>
      <c r="AB97" s="370"/>
      <c r="AC97" s="370"/>
      <c r="AD97" s="370"/>
      <c r="AE97" s="370"/>
      <c r="AF97" s="370"/>
      <c r="AG97" s="370"/>
      <c r="AH97" s="370"/>
      <c r="AI97" s="370"/>
      <c r="AJ97" s="366"/>
      <c r="AK97" s="366"/>
      <c r="AL97" s="360"/>
      <c r="AM97" s="305" t="s">
        <v>823</v>
      </c>
      <c r="AN97" s="305"/>
      <c r="AO97" s="305"/>
      <c r="AP97" s="305"/>
      <c r="AQ97" s="305"/>
      <c r="AR97" s="305"/>
      <c r="AS97" s="305"/>
      <c r="AT97" s="305"/>
      <c r="AU97" s="305"/>
      <c r="AV97" s="305"/>
    </row>
    <row r="98" spans="1:48" s="306" customFormat="1" ht="39" hidden="1">
      <c r="A98" s="304" t="s">
        <v>331</v>
      </c>
      <c r="B98" s="304" t="s">
        <v>708</v>
      </c>
      <c r="C98" s="341" t="s">
        <v>797</v>
      </c>
      <c r="D98" s="284"/>
      <c r="E98" s="284"/>
      <c r="F98" s="284"/>
      <c r="G98" s="284"/>
      <c r="H98" s="284"/>
      <c r="I98" s="284"/>
      <c r="J98" s="366">
        <v>0.5</v>
      </c>
      <c r="K98" s="370">
        <f t="shared" si="17"/>
        <v>3.5460992907801428E-2</v>
      </c>
      <c r="L98" s="371">
        <v>0.5</v>
      </c>
      <c r="M98" s="371">
        <v>0</v>
      </c>
      <c r="N98" s="366">
        <f t="shared" si="13"/>
        <v>0.5</v>
      </c>
      <c r="O98" s="370">
        <f t="shared" si="14"/>
        <v>0</v>
      </c>
      <c r="P98" s="370">
        <f t="shared" si="15"/>
        <v>0</v>
      </c>
      <c r="Q98" s="366">
        <f t="shared" si="18"/>
        <v>0.5</v>
      </c>
      <c r="R98" s="370">
        <f t="shared" si="12"/>
        <v>0</v>
      </c>
      <c r="S98" s="366">
        <f t="shared" si="19"/>
        <v>0</v>
      </c>
      <c r="T98" s="366">
        <v>0</v>
      </c>
      <c r="U98" s="370">
        <f t="shared" si="16"/>
        <v>0</v>
      </c>
      <c r="V98" s="370"/>
      <c r="W98" s="372"/>
      <c r="X98" s="370"/>
      <c r="Y98" s="370"/>
      <c r="Z98" s="370"/>
      <c r="AA98" s="370"/>
      <c r="AB98" s="370"/>
      <c r="AC98" s="370"/>
      <c r="AD98" s="370"/>
      <c r="AE98" s="370"/>
      <c r="AF98" s="370"/>
      <c r="AG98" s="370"/>
      <c r="AH98" s="370"/>
      <c r="AI98" s="370"/>
      <c r="AJ98" s="366"/>
      <c r="AK98" s="366"/>
      <c r="AL98" s="360"/>
      <c r="AM98" s="305" t="s">
        <v>823</v>
      </c>
      <c r="AN98" s="305"/>
      <c r="AO98" s="305"/>
      <c r="AP98" s="305"/>
      <c r="AQ98" s="305"/>
      <c r="AR98" s="305"/>
      <c r="AS98" s="305"/>
      <c r="AT98" s="305"/>
      <c r="AU98" s="305"/>
      <c r="AV98" s="305"/>
    </row>
    <row r="99" spans="1:48" s="306" customFormat="1" ht="39" hidden="1">
      <c r="A99" s="304" t="s">
        <v>333</v>
      </c>
      <c r="B99" s="304" t="s">
        <v>709</v>
      </c>
      <c r="C99" s="341" t="s">
        <v>797</v>
      </c>
      <c r="D99" s="284"/>
      <c r="E99" s="284"/>
      <c r="F99" s="284"/>
      <c r="G99" s="284"/>
      <c r="H99" s="284"/>
      <c r="I99" s="284"/>
      <c r="J99" s="366">
        <v>0.5</v>
      </c>
      <c r="K99" s="370">
        <f t="shared" si="17"/>
        <v>3.5460992907801428E-2</v>
      </c>
      <c r="L99" s="371">
        <v>0.5</v>
      </c>
      <c r="M99" s="371">
        <v>0</v>
      </c>
      <c r="N99" s="366">
        <f t="shared" si="13"/>
        <v>0.5</v>
      </c>
      <c r="O99" s="370">
        <f t="shared" si="14"/>
        <v>0</v>
      </c>
      <c r="P99" s="370">
        <f t="shared" si="15"/>
        <v>0</v>
      </c>
      <c r="Q99" s="366">
        <f t="shared" si="18"/>
        <v>0.5</v>
      </c>
      <c r="R99" s="370">
        <f t="shared" si="12"/>
        <v>0</v>
      </c>
      <c r="S99" s="366">
        <f t="shared" si="19"/>
        <v>0</v>
      </c>
      <c r="T99" s="366">
        <v>0</v>
      </c>
      <c r="U99" s="370">
        <f t="shared" si="16"/>
        <v>0</v>
      </c>
      <c r="V99" s="370"/>
      <c r="W99" s="372"/>
      <c r="X99" s="370"/>
      <c r="Y99" s="370"/>
      <c r="Z99" s="370"/>
      <c r="AA99" s="370"/>
      <c r="AB99" s="370"/>
      <c r="AC99" s="370"/>
      <c r="AD99" s="370"/>
      <c r="AE99" s="370"/>
      <c r="AF99" s="370"/>
      <c r="AG99" s="370"/>
      <c r="AH99" s="370"/>
      <c r="AI99" s="370"/>
      <c r="AJ99" s="366"/>
      <c r="AK99" s="366"/>
      <c r="AL99" s="360"/>
      <c r="AM99" s="305" t="s">
        <v>823</v>
      </c>
      <c r="AN99" s="305"/>
      <c r="AO99" s="305"/>
      <c r="AP99" s="305"/>
      <c r="AQ99" s="305"/>
      <c r="AR99" s="305"/>
      <c r="AS99" s="305"/>
      <c r="AT99" s="305"/>
      <c r="AU99" s="305"/>
      <c r="AV99" s="305"/>
    </row>
    <row r="100" spans="1:48" s="306" customFormat="1" ht="39" hidden="1">
      <c r="A100" s="304" t="s">
        <v>335</v>
      </c>
      <c r="B100" s="304" t="s">
        <v>710</v>
      </c>
      <c r="C100" s="341" t="s">
        <v>797</v>
      </c>
      <c r="D100" s="284"/>
      <c r="E100" s="284"/>
      <c r="F100" s="284"/>
      <c r="G100" s="284"/>
      <c r="H100" s="284"/>
      <c r="I100" s="284"/>
      <c r="J100" s="366">
        <v>0.5</v>
      </c>
      <c r="K100" s="370">
        <f t="shared" si="17"/>
        <v>3.5460992907801428E-2</v>
      </c>
      <c r="L100" s="371">
        <v>0.5</v>
      </c>
      <c r="M100" s="371">
        <v>0</v>
      </c>
      <c r="N100" s="366">
        <f t="shared" si="13"/>
        <v>0.5</v>
      </c>
      <c r="O100" s="370">
        <f t="shared" si="14"/>
        <v>0</v>
      </c>
      <c r="P100" s="370">
        <f t="shared" si="15"/>
        <v>0</v>
      </c>
      <c r="Q100" s="366">
        <f t="shared" si="18"/>
        <v>0.5</v>
      </c>
      <c r="R100" s="370">
        <f t="shared" si="12"/>
        <v>0</v>
      </c>
      <c r="S100" s="366">
        <f t="shared" si="19"/>
        <v>0</v>
      </c>
      <c r="T100" s="366">
        <v>0</v>
      </c>
      <c r="U100" s="370">
        <f t="shared" si="16"/>
        <v>0</v>
      </c>
      <c r="V100" s="370"/>
      <c r="W100" s="372"/>
      <c r="X100" s="370"/>
      <c r="Y100" s="370"/>
      <c r="Z100" s="370"/>
      <c r="AA100" s="370"/>
      <c r="AB100" s="370"/>
      <c r="AC100" s="370"/>
      <c r="AD100" s="370"/>
      <c r="AE100" s="370"/>
      <c r="AF100" s="370"/>
      <c r="AG100" s="370"/>
      <c r="AH100" s="370"/>
      <c r="AI100" s="370"/>
      <c r="AJ100" s="366"/>
      <c r="AK100" s="366"/>
      <c r="AL100" s="360"/>
      <c r="AM100" s="305" t="s">
        <v>823</v>
      </c>
      <c r="AN100" s="305"/>
      <c r="AO100" s="305"/>
      <c r="AP100" s="305"/>
      <c r="AQ100" s="305"/>
      <c r="AR100" s="305"/>
      <c r="AS100" s="305"/>
      <c r="AT100" s="305"/>
      <c r="AU100" s="305"/>
      <c r="AV100" s="305"/>
    </row>
    <row r="101" spans="1:48" s="306" customFormat="1" ht="58.5" hidden="1">
      <c r="A101" s="304" t="s">
        <v>337</v>
      </c>
      <c r="B101" s="304" t="s">
        <v>711</v>
      </c>
      <c r="C101" s="341" t="s">
        <v>797</v>
      </c>
      <c r="D101" s="284"/>
      <c r="E101" s="284"/>
      <c r="F101" s="284"/>
      <c r="G101" s="284"/>
      <c r="H101" s="284"/>
      <c r="I101" s="284"/>
      <c r="J101" s="366">
        <v>0.5</v>
      </c>
      <c r="K101" s="370">
        <f t="shared" si="17"/>
        <v>3.5460992907801428E-2</v>
      </c>
      <c r="L101" s="371">
        <v>0.5</v>
      </c>
      <c r="M101" s="371">
        <v>0</v>
      </c>
      <c r="N101" s="366">
        <f t="shared" si="13"/>
        <v>0.5</v>
      </c>
      <c r="O101" s="370">
        <f t="shared" si="14"/>
        <v>0</v>
      </c>
      <c r="P101" s="370">
        <f t="shared" si="15"/>
        <v>0</v>
      </c>
      <c r="Q101" s="366">
        <f t="shared" si="18"/>
        <v>0.5</v>
      </c>
      <c r="R101" s="370">
        <f t="shared" si="12"/>
        <v>0</v>
      </c>
      <c r="S101" s="366">
        <f t="shared" si="19"/>
        <v>0</v>
      </c>
      <c r="T101" s="366">
        <v>0</v>
      </c>
      <c r="U101" s="370">
        <f t="shared" si="16"/>
        <v>0</v>
      </c>
      <c r="V101" s="370"/>
      <c r="W101" s="372"/>
      <c r="X101" s="370"/>
      <c r="Y101" s="370"/>
      <c r="Z101" s="370"/>
      <c r="AA101" s="370"/>
      <c r="AB101" s="370"/>
      <c r="AC101" s="370"/>
      <c r="AD101" s="370"/>
      <c r="AE101" s="370"/>
      <c r="AF101" s="370"/>
      <c r="AG101" s="370"/>
      <c r="AH101" s="370"/>
      <c r="AI101" s="370"/>
      <c r="AJ101" s="366"/>
      <c r="AK101" s="366"/>
      <c r="AL101" s="360"/>
      <c r="AM101" s="305" t="s">
        <v>823</v>
      </c>
      <c r="AN101" s="305"/>
      <c r="AO101" s="305"/>
      <c r="AP101" s="305"/>
      <c r="AQ101" s="305"/>
      <c r="AR101" s="305"/>
      <c r="AS101" s="305"/>
      <c r="AT101" s="305"/>
      <c r="AU101" s="305"/>
      <c r="AV101" s="305"/>
    </row>
    <row r="102" spans="1:48" s="306" customFormat="1" ht="39" hidden="1">
      <c r="A102" s="304" t="s">
        <v>339</v>
      </c>
      <c r="B102" s="304" t="s">
        <v>712</v>
      </c>
      <c r="C102" s="341" t="s">
        <v>797</v>
      </c>
      <c r="D102" s="284"/>
      <c r="E102" s="284"/>
      <c r="F102" s="284"/>
      <c r="G102" s="284"/>
      <c r="H102" s="284"/>
      <c r="I102" s="284"/>
      <c r="J102" s="366">
        <v>0.5</v>
      </c>
      <c r="K102" s="370">
        <f t="shared" si="17"/>
        <v>0.27304964539007098</v>
      </c>
      <c r="L102" s="371">
        <v>3.85</v>
      </c>
      <c r="M102" s="371">
        <v>0</v>
      </c>
      <c r="N102" s="366">
        <f t="shared" si="13"/>
        <v>0.5</v>
      </c>
      <c r="O102" s="370">
        <f t="shared" si="14"/>
        <v>0</v>
      </c>
      <c r="P102" s="370">
        <f t="shared" si="15"/>
        <v>0</v>
      </c>
      <c r="Q102" s="366">
        <f t="shared" si="18"/>
        <v>0.5</v>
      </c>
      <c r="R102" s="370">
        <f t="shared" si="12"/>
        <v>0</v>
      </c>
      <c r="S102" s="366">
        <f t="shared" si="19"/>
        <v>0</v>
      </c>
      <c r="T102" s="366">
        <v>0</v>
      </c>
      <c r="U102" s="370">
        <f t="shared" si="16"/>
        <v>0</v>
      </c>
      <c r="V102" s="370"/>
      <c r="W102" s="372"/>
      <c r="X102" s="370"/>
      <c r="Y102" s="370"/>
      <c r="Z102" s="370"/>
      <c r="AA102" s="370"/>
      <c r="AB102" s="370"/>
      <c r="AC102" s="370"/>
      <c r="AD102" s="370"/>
      <c r="AE102" s="370"/>
      <c r="AF102" s="370"/>
      <c r="AG102" s="370"/>
      <c r="AH102" s="370"/>
      <c r="AI102" s="370"/>
      <c r="AJ102" s="366"/>
      <c r="AK102" s="366"/>
      <c r="AL102" s="360"/>
      <c r="AM102" s="305" t="s">
        <v>823</v>
      </c>
      <c r="AN102" s="305"/>
      <c r="AO102" s="305"/>
      <c r="AP102" s="305"/>
      <c r="AQ102" s="305"/>
      <c r="AR102" s="305"/>
      <c r="AS102" s="305"/>
      <c r="AT102" s="305"/>
      <c r="AU102" s="305"/>
      <c r="AV102" s="305"/>
    </row>
    <row r="103" spans="1:48" s="306" customFormat="1" ht="39" hidden="1">
      <c r="A103" s="304" t="s">
        <v>715</v>
      </c>
      <c r="B103" s="304" t="s">
        <v>713</v>
      </c>
      <c r="C103" s="341" t="s">
        <v>797</v>
      </c>
      <c r="D103" s="284"/>
      <c r="E103" s="284"/>
      <c r="F103" s="284"/>
      <c r="G103" s="284"/>
      <c r="H103" s="284"/>
      <c r="I103" s="284"/>
      <c r="J103" s="366">
        <v>1</v>
      </c>
      <c r="K103" s="370">
        <f t="shared" si="17"/>
        <v>0.35460992907801425</v>
      </c>
      <c r="L103" s="371">
        <v>5</v>
      </c>
      <c r="M103" s="371">
        <v>0</v>
      </c>
      <c r="N103" s="366">
        <f t="shared" si="13"/>
        <v>1</v>
      </c>
      <c r="O103" s="370">
        <f t="shared" si="14"/>
        <v>0</v>
      </c>
      <c r="P103" s="370">
        <f t="shared" si="15"/>
        <v>0</v>
      </c>
      <c r="Q103" s="366">
        <f t="shared" si="18"/>
        <v>1</v>
      </c>
      <c r="R103" s="370">
        <f t="shared" si="12"/>
        <v>0</v>
      </c>
      <c r="S103" s="366">
        <f t="shared" si="19"/>
        <v>0</v>
      </c>
      <c r="T103" s="366">
        <v>0</v>
      </c>
      <c r="U103" s="370">
        <f t="shared" si="16"/>
        <v>0</v>
      </c>
      <c r="V103" s="370"/>
      <c r="W103" s="372"/>
      <c r="X103" s="370"/>
      <c r="Y103" s="370"/>
      <c r="Z103" s="370"/>
      <c r="AA103" s="370"/>
      <c r="AB103" s="370"/>
      <c r="AC103" s="370"/>
      <c r="AD103" s="370"/>
      <c r="AE103" s="370"/>
      <c r="AF103" s="370"/>
      <c r="AG103" s="370"/>
      <c r="AH103" s="370"/>
      <c r="AI103" s="370"/>
      <c r="AJ103" s="366"/>
      <c r="AK103" s="366"/>
      <c r="AL103" s="360"/>
      <c r="AM103" s="305" t="s">
        <v>823</v>
      </c>
      <c r="AN103" s="305"/>
      <c r="AO103" s="305"/>
      <c r="AP103" s="305"/>
      <c r="AQ103" s="305"/>
      <c r="AR103" s="305"/>
      <c r="AS103" s="305"/>
      <c r="AT103" s="305"/>
      <c r="AU103" s="305"/>
      <c r="AV103" s="305"/>
    </row>
    <row r="104" spans="1:48" s="306" customFormat="1" ht="39" hidden="1">
      <c r="A104" s="304" t="s">
        <v>343</v>
      </c>
      <c r="B104" s="304" t="s">
        <v>714</v>
      </c>
      <c r="C104" s="341" t="s">
        <v>797</v>
      </c>
      <c r="D104" s="284"/>
      <c r="E104" s="284"/>
      <c r="F104" s="284"/>
      <c r="G104" s="284"/>
      <c r="H104" s="284"/>
      <c r="I104" s="284"/>
      <c r="J104" s="366">
        <v>1</v>
      </c>
      <c r="K104" s="370">
        <f t="shared" si="17"/>
        <v>7.0921985815602856E-2</v>
      </c>
      <c r="L104" s="371">
        <v>1</v>
      </c>
      <c r="M104" s="371">
        <v>0</v>
      </c>
      <c r="N104" s="366">
        <f t="shared" si="13"/>
        <v>1</v>
      </c>
      <c r="O104" s="370">
        <f t="shared" si="14"/>
        <v>0</v>
      </c>
      <c r="P104" s="370">
        <f t="shared" si="15"/>
        <v>0</v>
      </c>
      <c r="Q104" s="366">
        <f t="shared" si="18"/>
        <v>1</v>
      </c>
      <c r="R104" s="370">
        <f t="shared" si="12"/>
        <v>0</v>
      </c>
      <c r="S104" s="366">
        <f t="shared" si="19"/>
        <v>0</v>
      </c>
      <c r="T104" s="366">
        <v>0</v>
      </c>
      <c r="U104" s="370">
        <f t="shared" si="16"/>
        <v>0</v>
      </c>
      <c r="V104" s="370"/>
      <c r="W104" s="372"/>
      <c r="X104" s="370"/>
      <c r="Y104" s="370"/>
      <c r="Z104" s="370"/>
      <c r="AA104" s="370"/>
      <c r="AB104" s="370"/>
      <c r="AC104" s="370"/>
      <c r="AD104" s="370"/>
      <c r="AE104" s="370"/>
      <c r="AF104" s="370"/>
      <c r="AG104" s="370"/>
      <c r="AH104" s="370"/>
      <c r="AI104" s="370"/>
      <c r="AJ104" s="366"/>
      <c r="AK104" s="366"/>
      <c r="AL104" s="360"/>
      <c r="AM104" s="305" t="s">
        <v>823</v>
      </c>
      <c r="AN104" s="305"/>
      <c r="AO104" s="305"/>
      <c r="AP104" s="305"/>
      <c r="AQ104" s="305"/>
      <c r="AR104" s="305"/>
      <c r="AS104" s="305"/>
      <c r="AT104" s="305"/>
      <c r="AU104" s="305"/>
      <c r="AV104" s="305"/>
    </row>
    <row r="105" spans="1:48" s="306" customFormat="1" ht="58.5" hidden="1">
      <c r="A105" s="304" t="s">
        <v>716</v>
      </c>
      <c r="B105" s="304" t="s">
        <v>717</v>
      </c>
      <c r="C105" s="341" t="s">
        <v>797</v>
      </c>
      <c r="D105" s="284"/>
      <c r="E105" s="284"/>
      <c r="F105" s="284"/>
      <c r="G105" s="284"/>
      <c r="H105" s="284"/>
      <c r="I105" s="284"/>
      <c r="J105" s="366">
        <v>1</v>
      </c>
      <c r="K105" s="370">
        <f t="shared" si="17"/>
        <v>0.35460992907801425</v>
      </c>
      <c r="L105" s="371">
        <v>5</v>
      </c>
      <c r="M105" s="371">
        <v>0</v>
      </c>
      <c r="N105" s="366">
        <f t="shared" si="13"/>
        <v>1</v>
      </c>
      <c r="O105" s="370">
        <f t="shared" si="14"/>
        <v>0</v>
      </c>
      <c r="P105" s="370">
        <f t="shared" si="15"/>
        <v>0</v>
      </c>
      <c r="Q105" s="366">
        <f t="shared" si="18"/>
        <v>1</v>
      </c>
      <c r="R105" s="370">
        <f t="shared" si="12"/>
        <v>0</v>
      </c>
      <c r="S105" s="366">
        <f t="shared" si="19"/>
        <v>0</v>
      </c>
      <c r="T105" s="366">
        <v>0</v>
      </c>
      <c r="U105" s="370">
        <f t="shared" si="16"/>
        <v>0</v>
      </c>
      <c r="V105" s="370"/>
      <c r="W105" s="372"/>
      <c r="X105" s="370"/>
      <c r="Y105" s="370"/>
      <c r="Z105" s="370"/>
      <c r="AA105" s="370"/>
      <c r="AB105" s="370"/>
      <c r="AC105" s="370"/>
      <c r="AD105" s="370"/>
      <c r="AE105" s="370"/>
      <c r="AF105" s="370"/>
      <c r="AG105" s="370"/>
      <c r="AH105" s="370"/>
      <c r="AI105" s="370"/>
      <c r="AJ105" s="366"/>
      <c r="AK105" s="366"/>
      <c r="AL105" s="360"/>
      <c r="AM105" s="305" t="s">
        <v>823</v>
      </c>
      <c r="AN105" s="305"/>
      <c r="AO105" s="305"/>
      <c r="AP105" s="305"/>
      <c r="AQ105" s="305"/>
      <c r="AR105" s="305"/>
      <c r="AS105" s="305"/>
      <c r="AT105" s="305"/>
      <c r="AU105" s="305"/>
      <c r="AV105" s="305"/>
    </row>
    <row r="106" spans="1:48" s="306" customFormat="1" ht="78" hidden="1">
      <c r="A106" s="304" t="s">
        <v>718</v>
      </c>
      <c r="B106" s="304" t="s">
        <v>719</v>
      </c>
      <c r="C106" s="341" t="s">
        <v>797</v>
      </c>
      <c r="D106" s="284"/>
      <c r="E106" s="284"/>
      <c r="F106" s="284"/>
      <c r="G106" s="284"/>
      <c r="H106" s="284"/>
      <c r="I106" s="284"/>
      <c r="J106" s="366">
        <v>1</v>
      </c>
      <c r="K106" s="370">
        <f t="shared" si="17"/>
        <v>0.35460992907801425</v>
      </c>
      <c r="L106" s="371">
        <v>5</v>
      </c>
      <c r="M106" s="371">
        <v>0</v>
      </c>
      <c r="N106" s="366">
        <f t="shared" si="13"/>
        <v>1</v>
      </c>
      <c r="O106" s="370">
        <f t="shared" si="14"/>
        <v>0</v>
      </c>
      <c r="P106" s="370">
        <f t="shared" si="15"/>
        <v>0</v>
      </c>
      <c r="Q106" s="366">
        <f t="shared" si="18"/>
        <v>1</v>
      </c>
      <c r="R106" s="370">
        <f t="shared" si="12"/>
        <v>0</v>
      </c>
      <c r="S106" s="366">
        <f t="shared" si="19"/>
        <v>0</v>
      </c>
      <c r="T106" s="366">
        <v>0</v>
      </c>
      <c r="U106" s="370">
        <f t="shared" si="16"/>
        <v>0</v>
      </c>
      <c r="V106" s="370"/>
      <c r="W106" s="372"/>
      <c r="X106" s="370"/>
      <c r="Y106" s="370"/>
      <c r="Z106" s="370"/>
      <c r="AA106" s="370"/>
      <c r="AB106" s="370"/>
      <c r="AC106" s="370"/>
      <c r="AD106" s="370"/>
      <c r="AE106" s="370"/>
      <c r="AF106" s="370"/>
      <c r="AG106" s="370"/>
      <c r="AH106" s="370"/>
      <c r="AI106" s="370"/>
      <c r="AJ106" s="366"/>
      <c r="AK106" s="366"/>
      <c r="AL106" s="360"/>
      <c r="AM106" s="305" t="s">
        <v>823</v>
      </c>
      <c r="AN106" s="305"/>
      <c r="AO106" s="305"/>
      <c r="AP106" s="305"/>
      <c r="AQ106" s="305"/>
      <c r="AR106" s="305"/>
      <c r="AS106" s="305"/>
      <c r="AT106" s="305"/>
      <c r="AU106" s="305"/>
      <c r="AV106" s="305"/>
    </row>
    <row r="107" spans="1:48" s="306" customFormat="1" ht="39" hidden="1">
      <c r="A107" s="304" t="s">
        <v>345</v>
      </c>
      <c r="B107" s="304" t="s">
        <v>720</v>
      </c>
      <c r="C107" s="341" t="s">
        <v>797</v>
      </c>
      <c r="D107" s="284"/>
      <c r="E107" s="284"/>
      <c r="F107" s="284"/>
      <c r="G107" s="284"/>
      <c r="H107" s="284"/>
      <c r="I107" s="284"/>
      <c r="J107" s="366">
        <v>0.1</v>
      </c>
      <c r="K107" s="370">
        <f t="shared" si="17"/>
        <v>7.0921985815602853E-3</v>
      </c>
      <c r="L107" s="371">
        <v>0.1</v>
      </c>
      <c r="M107" s="371">
        <v>0</v>
      </c>
      <c r="N107" s="366">
        <f t="shared" si="13"/>
        <v>0.1</v>
      </c>
      <c r="O107" s="370">
        <f t="shared" si="14"/>
        <v>0</v>
      </c>
      <c r="P107" s="370">
        <f t="shared" si="15"/>
        <v>0</v>
      </c>
      <c r="Q107" s="366">
        <f t="shared" si="18"/>
        <v>0.1</v>
      </c>
      <c r="R107" s="370">
        <f t="shared" si="12"/>
        <v>0</v>
      </c>
      <c r="S107" s="366">
        <f t="shared" si="19"/>
        <v>0</v>
      </c>
      <c r="T107" s="366">
        <v>0</v>
      </c>
      <c r="U107" s="370">
        <f t="shared" si="16"/>
        <v>0</v>
      </c>
      <c r="V107" s="370"/>
      <c r="W107" s="372"/>
      <c r="X107" s="370"/>
      <c r="Y107" s="370"/>
      <c r="Z107" s="370"/>
      <c r="AA107" s="370"/>
      <c r="AB107" s="370"/>
      <c r="AC107" s="370"/>
      <c r="AD107" s="370"/>
      <c r="AE107" s="370"/>
      <c r="AF107" s="370"/>
      <c r="AG107" s="370"/>
      <c r="AH107" s="370"/>
      <c r="AI107" s="370"/>
      <c r="AJ107" s="366"/>
      <c r="AK107" s="366"/>
      <c r="AL107" s="360"/>
      <c r="AM107" s="305" t="s">
        <v>823</v>
      </c>
      <c r="AN107" s="305"/>
      <c r="AO107" s="305"/>
      <c r="AP107" s="305"/>
      <c r="AQ107" s="305"/>
      <c r="AR107" s="305"/>
      <c r="AS107" s="305"/>
      <c r="AT107" s="305"/>
      <c r="AU107" s="305"/>
      <c r="AV107" s="305"/>
    </row>
    <row r="108" spans="1:48" s="306" customFormat="1" ht="39" hidden="1">
      <c r="A108" s="304" t="s">
        <v>347</v>
      </c>
      <c r="B108" s="304" t="s">
        <v>721</v>
      </c>
      <c r="C108" s="341" t="s">
        <v>797</v>
      </c>
      <c r="D108" s="284"/>
      <c r="E108" s="284"/>
      <c r="F108" s="284"/>
      <c r="G108" s="284"/>
      <c r="H108" s="284"/>
      <c r="I108" s="284"/>
      <c r="J108" s="366">
        <v>1</v>
      </c>
      <c r="K108" s="370">
        <f t="shared" si="17"/>
        <v>7.0921985815602856E-2</v>
      </c>
      <c r="L108" s="371">
        <v>1</v>
      </c>
      <c r="M108" s="371">
        <v>0</v>
      </c>
      <c r="N108" s="366">
        <f t="shared" si="13"/>
        <v>1</v>
      </c>
      <c r="O108" s="370">
        <f t="shared" si="14"/>
        <v>0</v>
      </c>
      <c r="P108" s="370">
        <f t="shared" si="15"/>
        <v>0</v>
      </c>
      <c r="Q108" s="366">
        <f t="shared" si="18"/>
        <v>1</v>
      </c>
      <c r="R108" s="370">
        <f t="shared" si="12"/>
        <v>0</v>
      </c>
      <c r="S108" s="366">
        <f t="shared" si="19"/>
        <v>0</v>
      </c>
      <c r="T108" s="366">
        <v>0</v>
      </c>
      <c r="U108" s="370">
        <f t="shared" si="16"/>
        <v>0</v>
      </c>
      <c r="V108" s="370"/>
      <c r="W108" s="372"/>
      <c r="X108" s="370"/>
      <c r="Y108" s="370"/>
      <c r="Z108" s="370"/>
      <c r="AA108" s="370"/>
      <c r="AB108" s="370"/>
      <c r="AC108" s="370"/>
      <c r="AD108" s="370"/>
      <c r="AE108" s="370"/>
      <c r="AF108" s="370"/>
      <c r="AG108" s="370"/>
      <c r="AH108" s="370"/>
      <c r="AI108" s="370"/>
      <c r="AJ108" s="366"/>
      <c r="AK108" s="366"/>
      <c r="AL108" s="360"/>
      <c r="AM108" s="305" t="s">
        <v>823</v>
      </c>
      <c r="AN108" s="305"/>
      <c r="AO108" s="305"/>
      <c r="AP108" s="305"/>
      <c r="AQ108" s="305"/>
      <c r="AR108" s="305"/>
      <c r="AS108" s="305"/>
      <c r="AT108" s="305"/>
      <c r="AU108" s="305"/>
      <c r="AV108" s="305"/>
    </row>
    <row r="109" spans="1:48" s="306" customFormat="1" ht="58.5" hidden="1">
      <c r="A109" s="304" t="s">
        <v>349</v>
      </c>
      <c r="B109" s="304" t="s">
        <v>722</v>
      </c>
      <c r="C109" s="341" t="s">
        <v>797</v>
      </c>
      <c r="D109" s="284"/>
      <c r="E109" s="284"/>
      <c r="F109" s="284"/>
      <c r="G109" s="284"/>
      <c r="H109" s="284"/>
      <c r="I109" s="284"/>
      <c r="J109" s="366">
        <v>1</v>
      </c>
      <c r="K109" s="370">
        <f t="shared" si="17"/>
        <v>7.0921985815602856E-2</v>
      </c>
      <c r="L109" s="371">
        <v>1</v>
      </c>
      <c r="M109" s="371">
        <v>0</v>
      </c>
      <c r="N109" s="366">
        <f t="shared" si="13"/>
        <v>1</v>
      </c>
      <c r="O109" s="370">
        <f t="shared" si="14"/>
        <v>0</v>
      </c>
      <c r="P109" s="370">
        <f t="shared" si="15"/>
        <v>0</v>
      </c>
      <c r="Q109" s="366">
        <f t="shared" si="18"/>
        <v>1</v>
      </c>
      <c r="R109" s="370">
        <f t="shared" si="12"/>
        <v>0</v>
      </c>
      <c r="S109" s="366">
        <f t="shared" si="19"/>
        <v>0</v>
      </c>
      <c r="T109" s="366">
        <v>0</v>
      </c>
      <c r="U109" s="370">
        <f t="shared" si="16"/>
        <v>0</v>
      </c>
      <c r="V109" s="370"/>
      <c r="W109" s="372"/>
      <c r="X109" s="370"/>
      <c r="Y109" s="370"/>
      <c r="Z109" s="370"/>
      <c r="AA109" s="370"/>
      <c r="AB109" s="370"/>
      <c r="AC109" s="370"/>
      <c r="AD109" s="370"/>
      <c r="AE109" s="370"/>
      <c r="AF109" s="370"/>
      <c r="AG109" s="370"/>
      <c r="AH109" s="370"/>
      <c r="AI109" s="370"/>
      <c r="AJ109" s="366"/>
      <c r="AK109" s="366"/>
      <c r="AL109" s="360"/>
      <c r="AM109" s="305" t="s">
        <v>823</v>
      </c>
      <c r="AN109" s="305"/>
      <c r="AO109" s="305"/>
      <c r="AP109" s="305"/>
      <c r="AQ109" s="305"/>
      <c r="AR109" s="305"/>
      <c r="AS109" s="305"/>
      <c r="AT109" s="305"/>
      <c r="AU109" s="305"/>
      <c r="AV109" s="305"/>
    </row>
    <row r="110" spans="1:48" s="306" customFormat="1" ht="58.5" hidden="1">
      <c r="A110" s="304" t="s">
        <v>351</v>
      </c>
      <c r="B110" s="304" t="s">
        <v>723</v>
      </c>
      <c r="C110" s="341" t="s">
        <v>797</v>
      </c>
      <c r="D110" s="284"/>
      <c r="E110" s="284"/>
      <c r="F110" s="284"/>
      <c r="G110" s="284"/>
      <c r="H110" s="284"/>
      <c r="I110" s="284"/>
      <c r="J110" s="366">
        <v>5.55</v>
      </c>
      <c r="K110" s="370">
        <f t="shared" si="17"/>
        <v>0.39361702127659576</v>
      </c>
      <c r="L110" s="371">
        <v>5.55</v>
      </c>
      <c r="M110" s="371">
        <v>3.5</v>
      </c>
      <c r="N110" s="366">
        <f t="shared" si="13"/>
        <v>5.55</v>
      </c>
      <c r="O110" s="370">
        <f t="shared" si="14"/>
        <v>0.49645390070921996</v>
      </c>
      <c r="P110" s="370">
        <f t="shared" si="15"/>
        <v>3.5</v>
      </c>
      <c r="Q110" s="366">
        <f t="shared" si="18"/>
        <v>5.55</v>
      </c>
      <c r="R110" s="370">
        <f t="shared" si="12"/>
        <v>0.49645390070921996</v>
      </c>
      <c r="S110" s="366">
        <f t="shared" si="19"/>
        <v>100</v>
      </c>
      <c r="T110" s="366">
        <v>3.38</v>
      </c>
      <c r="U110" s="370">
        <f t="shared" si="16"/>
        <v>96.571428571428569</v>
      </c>
      <c r="V110" s="370"/>
      <c r="W110" s="372"/>
      <c r="X110" s="370"/>
      <c r="Y110" s="370"/>
      <c r="Z110" s="370"/>
      <c r="AA110" s="370"/>
      <c r="AB110" s="370"/>
      <c r="AC110" s="370"/>
      <c r="AD110" s="370"/>
      <c r="AE110" s="370"/>
      <c r="AF110" s="370"/>
      <c r="AG110" s="370"/>
      <c r="AH110" s="370"/>
      <c r="AI110" s="370"/>
      <c r="AJ110" s="366"/>
      <c r="AK110" s="366"/>
      <c r="AL110" s="360"/>
      <c r="AM110" s="305" t="s">
        <v>823</v>
      </c>
      <c r="AN110" s="305"/>
      <c r="AO110" s="305"/>
      <c r="AP110" s="305"/>
      <c r="AQ110" s="305"/>
      <c r="AR110" s="305"/>
      <c r="AS110" s="305"/>
      <c r="AT110" s="305"/>
      <c r="AU110" s="305"/>
      <c r="AV110" s="305"/>
    </row>
    <row r="111" spans="1:48" s="306" customFormat="1" ht="58.5" hidden="1">
      <c r="A111" s="304" t="s">
        <v>353</v>
      </c>
      <c r="B111" s="304" t="s">
        <v>724</v>
      </c>
      <c r="C111" s="341" t="s">
        <v>797</v>
      </c>
      <c r="D111" s="284"/>
      <c r="E111" s="284"/>
      <c r="F111" s="284"/>
      <c r="G111" s="284"/>
      <c r="H111" s="284"/>
      <c r="I111" s="284"/>
      <c r="J111" s="366">
        <v>1</v>
      </c>
      <c r="K111" s="370">
        <f t="shared" si="17"/>
        <v>7.0921985815602856E-2</v>
      </c>
      <c r="L111" s="371">
        <v>1</v>
      </c>
      <c r="M111" s="371">
        <v>0</v>
      </c>
      <c r="N111" s="366">
        <f t="shared" si="13"/>
        <v>1</v>
      </c>
      <c r="O111" s="370">
        <f t="shared" si="14"/>
        <v>0</v>
      </c>
      <c r="P111" s="370">
        <f t="shared" si="15"/>
        <v>0</v>
      </c>
      <c r="Q111" s="366">
        <f t="shared" si="18"/>
        <v>1</v>
      </c>
      <c r="R111" s="370">
        <f t="shared" si="12"/>
        <v>0</v>
      </c>
      <c r="S111" s="366">
        <f t="shared" si="19"/>
        <v>0</v>
      </c>
      <c r="T111" s="366">
        <v>0</v>
      </c>
      <c r="U111" s="370">
        <f t="shared" si="16"/>
        <v>0</v>
      </c>
      <c r="V111" s="370"/>
      <c r="W111" s="372"/>
      <c r="X111" s="370"/>
      <c r="Y111" s="370"/>
      <c r="Z111" s="370"/>
      <c r="AA111" s="370"/>
      <c r="AB111" s="370"/>
      <c r="AC111" s="370"/>
      <c r="AD111" s="370"/>
      <c r="AE111" s="370"/>
      <c r="AF111" s="370"/>
      <c r="AG111" s="370"/>
      <c r="AH111" s="370"/>
      <c r="AI111" s="370"/>
      <c r="AJ111" s="366"/>
      <c r="AK111" s="366"/>
      <c r="AL111" s="360"/>
      <c r="AM111" s="305" t="s">
        <v>823</v>
      </c>
      <c r="AN111" s="305"/>
      <c r="AO111" s="305"/>
      <c r="AP111" s="305"/>
      <c r="AQ111" s="305"/>
      <c r="AR111" s="305"/>
      <c r="AS111" s="305"/>
      <c r="AT111" s="305"/>
      <c r="AU111" s="305"/>
      <c r="AV111" s="305"/>
    </row>
    <row r="112" spans="1:48" s="306" customFormat="1" ht="58.5" hidden="1">
      <c r="A112" s="304" t="s">
        <v>355</v>
      </c>
      <c r="B112" s="304" t="s">
        <v>725</v>
      </c>
      <c r="C112" s="341" t="s">
        <v>797</v>
      </c>
      <c r="D112" s="284"/>
      <c r="E112" s="284"/>
      <c r="F112" s="284"/>
      <c r="G112" s="284"/>
      <c r="H112" s="284"/>
      <c r="I112" s="284"/>
      <c r="J112" s="366">
        <v>1</v>
      </c>
      <c r="K112" s="370">
        <f t="shared" si="17"/>
        <v>7.0921985815602856E-2</v>
      </c>
      <c r="L112" s="371">
        <v>1</v>
      </c>
      <c r="M112" s="371">
        <v>0</v>
      </c>
      <c r="N112" s="366">
        <f t="shared" si="13"/>
        <v>1</v>
      </c>
      <c r="O112" s="370">
        <f t="shared" si="14"/>
        <v>0</v>
      </c>
      <c r="P112" s="370">
        <f t="shared" si="15"/>
        <v>0</v>
      </c>
      <c r="Q112" s="366">
        <f t="shared" si="18"/>
        <v>1</v>
      </c>
      <c r="R112" s="370">
        <f t="shared" si="12"/>
        <v>0</v>
      </c>
      <c r="S112" s="366">
        <f t="shared" si="19"/>
        <v>0</v>
      </c>
      <c r="T112" s="366">
        <v>0</v>
      </c>
      <c r="U112" s="370">
        <f t="shared" si="16"/>
        <v>0</v>
      </c>
      <c r="V112" s="370"/>
      <c r="W112" s="372"/>
      <c r="X112" s="370"/>
      <c r="Y112" s="370"/>
      <c r="Z112" s="370"/>
      <c r="AA112" s="370"/>
      <c r="AB112" s="370"/>
      <c r="AC112" s="370"/>
      <c r="AD112" s="370"/>
      <c r="AE112" s="370"/>
      <c r="AF112" s="370"/>
      <c r="AG112" s="370"/>
      <c r="AH112" s="370"/>
      <c r="AI112" s="370"/>
      <c r="AJ112" s="366"/>
      <c r="AK112" s="366"/>
      <c r="AL112" s="360"/>
      <c r="AM112" s="305" t="s">
        <v>823</v>
      </c>
      <c r="AN112" s="305"/>
      <c r="AO112" s="305"/>
      <c r="AP112" s="305"/>
      <c r="AQ112" s="305"/>
      <c r="AR112" s="305"/>
      <c r="AS112" s="305"/>
      <c r="AT112" s="305"/>
      <c r="AU112" s="305"/>
      <c r="AV112" s="305"/>
    </row>
    <row r="113" spans="1:48" s="306" customFormat="1" ht="58.5" hidden="1">
      <c r="A113" s="304" t="s">
        <v>357</v>
      </c>
      <c r="B113" s="304" t="s">
        <v>726</v>
      </c>
      <c r="C113" s="341" t="s">
        <v>797</v>
      </c>
      <c r="D113" s="284"/>
      <c r="E113" s="284"/>
      <c r="F113" s="284"/>
      <c r="G113" s="284"/>
      <c r="H113" s="284"/>
      <c r="I113" s="284"/>
      <c r="J113" s="366">
        <v>1</v>
      </c>
      <c r="K113" s="370">
        <f t="shared" si="17"/>
        <v>7.0921985815602856E-2</v>
      </c>
      <c r="L113" s="371">
        <v>1</v>
      </c>
      <c r="M113" s="371">
        <v>0</v>
      </c>
      <c r="N113" s="366">
        <f t="shared" si="13"/>
        <v>1</v>
      </c>
      <c r="O113" s="370">
        <f t="shared" si="14"/>
        <v>0</v>
      </c>
      <c r="P113" s="370">
        <f t="shared" si="15"/>
        <v>0</v>
      </c>
      <c r="Q113" s="366">
        <f t="shared" si="18"/>
        <v>1</v>
      </c>
      <c r="R113" s="370">
        <f t="shared" si="12"/>
        <v>0</v>
      </c>
      <c r="S113" s="366">
        <f t="shared" si="19"/>
        <v>0</v>
      </c>
      <c r="T113" s="366">
        <v>0</v>
      </c>
      <c r="U113" s="370">
        <f t="shared" si="16"/>
        <v>0</v>
      </c>
      <c r="V113" s="370"/>
      <c r="W113" s="372"/>
      <c r="X113" s="370"/>
      <c r="Y113" s="370"/>
      <c r="Z113" s="370"/>
      <c r="AA113" s="370"/>
      <c r="AB113" s="370"/>
      <c r="AC113" s="370"/>
      <c r="AD113" s="370"/>
      <c r="AE113" s="370"/>
      <c r="AF113" s="370"/>
      <c r="AG113" s="370"/>
      <c r="AH113" s="370"/>
      <c r="AI113" s="370"/>
      <c r="AJ113" s="366"/>
      <c r="AK113" s="366"/>
      <c r="AL113" s="360"/>
      <c r="AM113" s="305" t="s">
        <v>823</v>
      </c>
      <c r="AN113" s="305"/>
      <c r="AO113" s="305"/>
      <c r="AP113" s="305"/>
      <c r="AQ113" s="305"/>
      <c r="AR113" s="305"/>
      <c r="AS113" s="305"/>
      <c r="AT113" s="305"/>
      <c r="AU113" s="305"/>
      <c r="AV113" s="305"/>
    </row>
    <row r="114" spans="1:48" s="306" customFormat="1" ht="39" hidden="1">
      <c r="A114" s="304" t="s">
        <v>359</v>
      </c>
      <c r="B114" s="304" t="s">
        <v>727</v>
      </c>
      <c r="C114" s="341" t="s">
        <v>797</v>
      </c>
      <c r="D114" s="284"/>
      <c r="E114" s="284"/>
      <c r="F114" s="284"/>
      <c r="G114" s="284"/>
      <c r="H114" s="284"/>
      <c r="I114" s="284"/>
      <c r="J114" s="366">
        <v>5</v>
      </c>
      <c r="K114" s="370">
        <f t="shared" si="17"/>
        <v>0.35460992907801425</v>
      </c>
      <c r="L114" s="371">
        <v>5</v>
      </c>
      <c r="M114" s="371">
        <v>5</v>
      </c>
      <c r="N114" s="366">
        <f t="shared" si="13"/>
        <v>5</v>
      </c>
      <c r="O114" s="370">
        <f t="shared" si="14"/>
        <v>0.7092198581560285</v>
      </c>
      <c r="P114" s="370">
        <f t="shared" si="15"/>
        <v>5</v>
      </c>
      <c r="Q114" s="366">
        <f t="shared" si="18"/>
        <v>5</v>
      </c>
      <c r="R114" s="370">
        <f t="shared" si="12"/>
        <v>0.7092198581560285</v>
      </c>
      <c r="S114" s="366">
        <f t="shared" si="19"/>
        <v>100</v>
      </c>
      <c r="T114" s="366">
        <v>4.91</v>
      </c>
      <c r="U114" s="370">
        <f t="shared" si="16"/>
        <v>98.2</v>
      </c>
      <c r="V114" s="370"/>
      <c r="W114" s="372"/>
      <c r="X114" s="370"/>
      <c r="Y114" s="370"/>
      <c r="Z114" s="370"/>
      <c r="AA114" s="370"/>
      <c r="AB114" s="370"/>
      <c r="AC114" s="370"/>
      <c r="AD114" s="370"/>
      <c r="AE114" s="370"/>
      <c r="AF114" s="370"/>
      <c r="AG114" s="370"/>
      <c r="AH114" s="370"/>
      <c r="AI114" s="370"/>
      <c r="AJ114" s="366"/>
      <c r="AK114" s="366"/>
      <c r="AL114" s="360"/>
      <c r="AM114" s="305" t="s">
        <v>823</v>
      </c>
      <c r="AN114" s="305"/>
      <c r="AO114" s="305"/>
      <c r="AP114" s="305"/>
      <c r="AQ114" s="305"/>
      <c r="AR114" s="305"/>
      <c r="AS114" s="305"/>
      <c r="AT114" s="305"/>
      <c r="AU114" s="305"/>
      <c r="AV114" s="305"/>
    </row>
    <row r="115" spans="1:48" s="306" customFormat="1" ht="31.15" hidden="1" customHeight="1">
      <c r="A115" s="304" t="s">
        <v>361</v>
      </c>
      <c r="B115" s="304" t="s">
        <v>728</v>
      </c>
      <c r="C115" s="341" t="s">
        <v>797</v>
      </c>
      <c r="D115" s="284"/>
      <c r="E115" s="284"/>
      <c r="F115" s="284"/>
      <c r="G115" s="284"/>
      <c r="H115" s="284"/>
      <c r="I115" s="284"/>
      <c r="J115" s="366">
        <v>0.5</v>
      </c>
      <c r="K115" s="370">
        <f t="shared" si="17"/>
        <v>0.24822695035460998</v>
      </c>
      <c r="L115" s="371">
        <v>3.5</v>
      </c>
      <c r="M115" s="371">
        <v>0</v>
      </c>
      <c r="N115" s="366">
        <f t="shared" si="13"/>
        <v>0.5</v>
      </c>
      <c r="O115" s="370">
        <f t="shared" si="14"/>
        <v>0</v>
      </c>
      <c r="P115" s="370">
        <f t="shared" si="15"/>
        <v>0</v>
      </c>
      <c r="Q115" s="366">
        <f t="shared" si="18"/>
        <v>0.5</v>
      </c>
      <c r="R115" s="370">
        <f t="shared" si="12"/>
        <v>0</v>
      </c>
      <c r="S115" s="366">
        <f t="shared" si="19"/>
        <v>0</v>
      </c>
      <c r="T115" s="366">
        <v>0</v>
      </c>
      <c r="U115" s="370">
        <f t="shared" si="16"/>
        <v>0</v>
      </c>
      <c r="V115" s="370"/>
      <c r="W115" s="372"/>
      <c r="X115" s="370"/>
      <c r="Y115" s="370"/>
      <c r="Z115" s="370"/>
      <c r="AA115" s="370"/>
      <c r="AB115" s="370"/>
      <c r="AC115" s="370"/>
      <c r="AD115" s="370"/>
      <c r="AE115" s="370"/>
      <c r="AF115" s="370"/>
      <c r="AG115" s="370"/>
      <c r="AH115" s="370"/>
      <c r="AI115" s="370"/>
      <c r="AJ115" s="366"/>
      <c r="AK115" s="366"/>
      <c r="AL115" s="360"/>
      <c r="AM115" s="305" t="s">
        <v>823</v>
      </c>
      <c r="AN115" s="305"/>
      <c r="AO115" s="305"/>
      <c r="AP115" s="305"/>
      <c r="AQ115" s="305"/>
      <c r="AR115" s="305"/>
      <c r="AS115" s="305"/>
      <c r="AT115" s="305"/>
      <c r="AU115" s="305"/>
      <c r="AV115" s="305"/>
    </row>
    <row r="116" spans="1:48" s="306" customFormat="1" ht="39" hidden="1">
      <c r="A116" s="304" t="s">
        <v>363</v>
      </c>
      <c r="B116" s="304" t="s">
        <v>729</v>
      </c>
      <c r="C116" s="341" t="s">
        <v>797</v>
      </c>
      <c r="D116" s="284"/>
      <c r="E116" s="284"/>
      <c r="F116" s="284"/>
      <c r="G116" s="284"/>
      <c r="H116" s="284"/>
      <c r="I116" s="284"/>
      <c r="J116" s="366">
        <v>5</v>
      </c>
      <c r="K116" s="370">
        <f t="shared" si="17"/>
        <v>0.35460992907801425</v>
      </c>
      <c r="L116" s="371">
        <v>5</v>
      </c>
      <c r="M116" s="371">
        <v>5</v>
      </c>
      <c r="N116" s="366">
        <f t="shared" si="13"/>
        <v>5</v>
      </c>
      <c r="O116" s="370">
        <f t="shared" si="14"/>
        <v>0.7092198581560285</v>
      </c>
      <c r="P116" s="370">
        <f t="shared" si="15"/>
        <v>5</v>
      </c>
      <c r="Q116" s="366">
        <f t="shared" si="18"/>
        <v>5</v>
      </c>
      <c r="R116" s="370">
        <f t="shared" si="12"/>
        <v>0.7092198581560285</v>
      </c>
      <c r="S116" s="366">
        <f t="shared" si="19"/>
        <v>100</v>
      </c>
      <c r="T116" s="366">
        <v>4.96</v>
      </c>
      <c r="U116" s="370">
        <f t="shared" si="16"/>
        <v>99.2</v>
      </c>
      <c r="V116" s="370"/>
      <c r="W116" s="372"/>
      <c r="X116" s="370"/>
      <c r="Y116" s="370"/>
      <c r="Z116" s="370"/>
      <c r="AA116" s="370"/>
      <c r="AB116" s="370"/>
      <c r="AC116" s="370"/>
      <c r="AD116" s="370"/>
      <c r="AE116" s="370"/>
      <c r="AF116" s="370"/>
      <c r="AG116" s="370"/>
      <c r="AH116" s="370"/>
      <c r="AI116" s="370"/>
      <c r="AJ116" s="366"/>
      <c r="AK116" s="366"/>
      <c r="AL116" s="360"/>
      <c r="AM116" s="305" t="s">
        <v>823</v>
      </c>
      <c r="AN116" s="305"/>
      <c r="AO116" s="305"/>
      <c r="AP116" s="305"/>
      <c r="AQ116" s="305"/>
      <c r="AR116" s="305"/>
      <c r="AS116" s="305"/>
      <c r="AT116" s="305"/>
      <c r="AU116" s="305"/>
      <c r="AV116" s="305"/>
    </row>
    <row r="117" spans="1:48" s="306" customFormat="1" ht="58.5" hidden="1">
      <c r="A117" s="304" t="s">
        <v>365</v>
      </c>
      <c r="B117" s="304" t="s">
        <v>730</v>
      </c>
      <c r="C117" s="341" t="s">
        <v>797</v>
      </c>
      <c r="D117" s="284"/>
      <c r="E117" s="284"/>
      <c r="F117" s="284"/>
      <c r="G117" s="284"/>
      <c r="H117" s="284"/>
      <c r="I117" s="284"/>
      <c r="J117" s="366">
        <v>1</v>
      </c>
      <c r="K117" s="370">
        <f t="shared" si="17"/>
        <v>7.0921985815602856E-2</v>
      </c>
      <c r="L117" s="371">
        <v>1</v>
      </c>
      <c r="M117" s="371">
        <v>0</v>
      </c>
      <c r="N117" s="366">
        <f t="shared" si="13"/>
        <v>1</v>
      </c>
      <c r="O117" s="370">
        <f t="shared" si="14"/>
        <v>0</v>
      </c>
      <c r="P117" s="370">
        <f t="shared" si="15"/>
        <v>0</v>
      </c>
      <c r="Q117" s="366">
        <f t="shared" si="18"/>
        <v>1</v>
      </c>
      <c r="R117" s="370">
        <f t="shared" si="12"/>
        <v>0</v>
      </c>
      <c r="S117" s="366">
        <f t="shared" si="19"/>
        <v>0</v>
      </c>
      <c r="T117" s="366">
        <v>0</v>
      </c>
      <c r="U117" s="370">
        <f t="shared" si="16"/>
        <v>0</v>
      </c>
      <c r="V117" s="370"/>
      <c r="W117" s="372"/>
      <c r="X117" s="370"/>
      <c r="Y117" s="370"/>
      <c r="Z117" s="370"/>
      <c r="AA117" s="370"/>
      <c r="AB117" s="370"/>
      <c r="AC117" s="370"/>
      <c r="AD117" s="370"/>
      <c r="AE117" s="370"/>
      <c r="AF117" s="370"/>
      <c r="AG117" s="370"/>
      <c r="AH117" s="370"/>
      <c r="AI117" s="370"/>
      <c r="AJ117" s="366"/>
      <c r="AK117" s="366"/>
      <c r="AL117" s="360"/>
      <c r="AM117" s="305" t="s">
        <v>823</v>
      </c>
      <c r="AN117" s="305"/>
      <c r="AO117" s="305"/>
      <c r="AP117" s="305"/>
      <c r="AQ117" s="305"/>
      <c r="AR117" s="305"/>
      <c r="AS117" s="305"/>
      <c r="AT117" s="305"/>
      <c r="AU117" s="305"/>
      <c r="AV117" s="305"/>
    </row>
    <row r="118" spans="1:48" s="306" customFormat="1" ht="39" hidden="1">
      <c r="A118" s="304" t="s">
        <v>367</v>
      </c>
      <c r="B118" s="304" t="s">
        <v>731</v>
      </c>
      <c r="C118" s="341" t="s">
        <v>797</v>
      </c>
      <c r="D118" s="284"/>
      <c r="E118" s="284"/>
      <c r="F118" s="284"/>
      <c r="G118" s="284"/>
      <c r="H118" s="284"/>
      <c r="I118" s="284"/>
      <c r="J118" s="366">
        <v>0.5</v>
      </c>
      <c r="K118" s="370">
        <f t="shared" si="17"/>
        <v>0.24822695035460998</v>
      </c>
      <c r="L118" s="371">
        <v>3.5</v>
      </c>
      <c r="M118" s="371">
        <v>3.5</v>
      </c>
      <c r="N118" s="366">
        <f t="shared" si="13"/>
        <v>0.5</v>
      </c>
      <c r="O118" s="370">
        <f t="shared" si="14"/>
        <v>0.49645390070921996</v>
      </c>
      <c r="P118" s="370">
        <f t="shared" si="15"/>
        <v>3.5</v>
      </c>
      <c r="Q118" s="366">
        <f t="shared" si="18"/>
        <v>0.5</v>
      </c>
      <c r="R118" s="370">
        <f t="shared" si="12"/>
        <v>0.49645390070921996</v>
      </c>
      <c r="S118" s="366">
        <f t="shared" si="19"/>
        <v>100</v>
      </c>
      <c r="T118" s="366">
        <v>3.5</v>
      </c>
      <c r="U118" s="370">
        <f t="shared" si="16"/>
        <v>100</v>
      </c>
      <c r="V118" s="370"/>
      <c r="W118" s="372"/>
      <c r="X118" s="370"/>
      <c r="Y118" s="370"/>
      <c r="Z118" s="370"/>
      <c r="AA118" s="370"/>
      <c r="AB118" s="370"/>
      <c r="AC118" s="370"/>
      <c r="AD118" s="370"/>
      <c r="AE118" s="370"/>
      <c r="AF118" s="370"/>
      <c r="AG118" s="370"/>
      <c r="AH118" s="370"/>
      <c r="AI118" s="370"/>
      <c r="AJ118" s="366"/>
      <c r="AK118" s="366"/>
      <c r="AL118" s="360"/>
      <c r="AM118" s="305" t="s">
        <v>823</v>
      </c>
      <c r="AN118" s="305"/>
      <c r="AO118" s="305"/>
      <c r="AP118" s="305"/>
      <c r="AQ118" s="305"/>
      <c r="AR118" s="305"/>
      <c r="AS118" s="305"/>
      <c r="AT118" s="305"/>
      <c r="AU118" s="305"/>
      <c r="AV118" s="305"/>
    </row>
    <row r="119" spans="1:48" s="306" customFormat="1" ht="58.5" hidden="1">
      <c r="A119" s="304" t="s">
        <v>369</v>
      </c>
      <c r="B119" s="304" t="s">
        <v>732</v>
      </c>
      <c r="C119" s="341" t="s">
        <v>797</v>
      </c>
      <c r="D119" s="284"/>
      <c r="E119" s="284"/>
      <c r="F119" s="284"/>
      <c r="G119" s="284"/>
      <c r="H119" s="284"/>
      <c r="I119" s="284"/>
      <c r="J119" s="366">
        <v>1</v>
      </c>
      <c r="K119" s="370">
        <f t="shared" si="17"/>
        <v>7.0921985815602856E-2</v>
      </c>
      <c r="L119" s="371">
        <v>1</v>
      </c>
      <c r="M119" s="371">
        <v>0</v>
      </c>
      <c r="N119" s="366">
        <f t="shared" si="13"/>
        <v>1</v>
      </c>
      <c r="O119" s="370">
        <f t="shared" si="14"/>
        <v>0</v>
      </c>
      <c r="P119" s="370">
        <f t="shared" si="15"/>
        <v>0</v>
      </c>
      <c r="Q119" s="366">
        <f t="shared" si="18"/>
        <v>1</v>
      </c>
      <c r="R119" s="370">
        <f t="shared" si="12"/>
        <v>0</v>
      </c>
      <c r="S119" s="366">
        <f t="shared" si="19"/>
        <v>0</v>
      </c>
      <c r="T119" s="366">
        <v>0</v>
      </c>
      <c r="U119" s="370">
        <f t="shared" si="16"/>
        <v>0</v>
      </c>
      <c r="V119" s="370"/>
      <c r="W119" s="372"/>
      <c r="X119" s="370"/>
      <c r="Y119" s="370"/>
      <c r="Z119" s="370"/>
      <c r="AA119" s="370"/>
      <c r="AB119" s="370"/>
      <c r="AC119" s="370"/>
      <c r="AD119" s="370"/>
      <c r="AE119" s="370"/>
      <c r="AF119" s="370"/>
      <c r="AG119" s="370"/>
      <c r="AH119" s="370"/>
      <c r="AI119" s="370"/>
      <c r="AJ119" s="366"/>
      <c r="AK119" s="366"/>
      <c r="AL119" s="360"/>
      <c r="AM119" s="305" t="s">
        <v>823</v>
      </c>
      <c r="AN119" s="305"/>
      <c r="AO119" s="305"/>
      <c r="AP119" s="305"/>
      <c r="AQ119" s="305"/>
      <c r="AR119" s="305"/>
      <c r="AS119" s="305"/>
      <c r="AT119" s="305"/>
      <c r="AU119" s="305"/>
      <c r="AV119" s="305"/>
    </row>
    <row r="120" spans="1:48" s="306" customFormat="1" ht="58.5" hidden="1">
      <c r="A120" s="304" t="s">
        <v>371</v>
      </c>
      <c r="B120" s="304" t="s">
        <v>733</v>
      </c>
      <c r="C120" s="341" t="s">
        <v>797</v>
      </c>
      <c r="D120" s="284"/>
      <c r="E120" s="284"/>
      <c r="F120" s="284"/>
      <c r="G120" s="284"/>
      <c r="H120" s="284"/>
      <c r="I120" s="284"/>
      <c r="J120" s="366">
        <v>2</v>
      </c>
      <c r="K120" s="370">
        <f t="shared" si="17"/>
        <v>0.14184397163120571</v>
      </c>
      <c r="L120" s="371">
        <v>2</v>
      </c>
      <c r="M120" s="371">
        <v>0</v>
      </c>
      <c r="N120" s="366">
        <f t="shared" si="13"/>
        <v>2</v>
      </c>
      <c r="O120" s="370">
        <f t="shared" si="14"/>
        <v>0</v>
      </c>
      <c r="P120" s="370">
        <f t="shared" si="15"/>
        <v>0</v>
      </c>
      <c r="Q120" s="366">
        <f t="shared" si="18"/>
        <v>2</v>
      </c>
      <c r="R120" s="370">
        <f t="shared" si="12"/>
        <v>0</v>
      </c>
      <c r="S120" s="366">
        <f t="shared" si="19"/>
        <v>0</v>
      </c>
      <c r="T120" s="366">
        <v>0</v>
      </c>
      <c r="U120" s="370">
        <f t="shared" si="16"/>
        <v>0</v>
      </c>
      <c r="V120" s="370"/>
      <c r="W120" s="372"/>
      <c r="X120" s="370"/>
      <c r="Y120" s="370"/>
      <c r="Z120" s="370"/>
      <c r="AA120" s="370"/>
      <c r="AB120" s="370"/>
      <c r="AC120" s="370"/>
      <c r="AD120" s="370"/>
      <c r="AE120" s="370"/>
      <c r="AF120" s="370"/>
      <c r="AG120" s="370"/>
      <c r="AH120" s="370"/>
      <c r="AI120" s="370"/>
      <c r="AJ120" s="366"/>
      <c r="AK120" s="366"/>
      <c r="AL120" s="360"/>
      <c r="AM120" s="305" t="s">
        <v>823</v>
      </c>
      <c r="AN120" s="305"/>
      <c r="AO120" s="305"/>
      <c r="AP120" s="305"/>
      <c r="AQ120" s="305"/>
      <c r="AR120" s="305"/>
      <c r="AS120" s="305"/>
      <c r="AT120" s="305"/>
      <c r="AU120" s="305"/>
      <c r="AV120" s="305"/>
    </row>
    <row r="121" spans="1:48" s="306" customFormat="1" ht="58.5" hidden="1">
      <c r="A121" s="304" t="s">
        <v>373</v>
      </c>
      <c r="B121" s="304" t="s">
        <v>734</v>
      </c>
      <c r="C121" s="341" t="s">
        <v>797</v>
      </c>
      <c r="D121" s="284"/>
      <c r="E121" s="284"/>
      <c r="F121" s="284"/>
      <c r="G121" s="284"/>
      <c r="H121" s="284"/>
      <c r="I121" s="284"/>
      <c r="J121" s="366">
        <v>0.5</v>
      </c>
      <c r="K121" s="370">
        <f t="shared" si="17"/>
        <v>0.24822695035460998</v>
      </c>
      <c r="L121" s="371">
        <v>3.5</v>
      </c>
      <c r="M121" s="371">
        <v>0</v>
      </c>
      <c r="N121" s="366">
        <f t="shared" si="13"/>
        <v>0.5</v>
      </c>
      <c r="O121" s="370">
        <f t="shared" si="14"/>
        <v>0</v>
      </c>
      <c r="P121" s="370">
        <f t="shared" si="15"/>
        <v>0</v>
      </c>
      <c r="Q121" s="366">
        <f t="shared" si="18"/>
        <v>0.5</v>
      </c>
      <c r="R121" s="370">
        <f t="shared" si="12"/>
        <v>0</v>
      </c>
      <c r="S121" s="366">
        <f t="shared" si="19"/>
        <v>0</v>
      </c>
      <c r="T121" s="366">
        <v>0</v>
      </c>
      <c r="U121" s="370">
        <f t="shared" si="16"/>
        <v>0</v>
      </c>
      <c r="V121" s="370"/>
      <c r="W121" s="372"/>
      <c r="X121" s="370"/>
      <c r="Y121" s="370"/>
      <c r="Z121" s="370"/>
      <c r="AA121" s="370"/>
      <c r="AB121" s="370"/>
      <c r="AC121" s="370"/>
      <c r="AD121" s="370"/>
      <c r="AE121" s="370"/>
      <c r="AF121" s="370"/>
      <c r="AG121" s="370"/>
      <c r="AH121" s="370"/>
      <c r="AI121" s="370"/>
      <c r="AJ121" s="366"/>
      <c r="AK121" s="366"/>
      <c r="AL121" s="360"/>
      <c r="AM121" s="305" t="s">
        <v>823</v>
      </c>
      <c r="AN121" s="305"/>
      <c r="AO121" s="305"/>
      <c r="AP121" s="305"/>
      <c r="AQ121" s="305"/>
      <c r="AR121" s="305"/>
      <c r="AS121" s="305"/>
      <c r="AT121" s="305"/>
      <c r="AU121" s="305"/>
      <c r="AV121" s="305"/>
    </row>
    <row r="122" spans="1:48" s="306" customFormat="1" ht="39" hidden="1">
      <c r="A122" s="304" t="s">
        <v>377</v>
      </c>
      <c r="B122" s="304" t="s">
        <v>735</v>
      </c>
      <c r="C122" s="341" t="s">
        <v>797</v>
      </c>
      <c r="D122" s="284"/>
      <c r="E122" s="284"/>
      <c r="F122" s="284"/>
      <c r="G122" s="284"/>
      <c r="H122" s="284"/>
      <c r="I122" s="284"/>
      <c r="J122" s="366">
        <v>1</v>
      </c>
      <c r="K122" s="370">
        <f t="shared" si="17"/>
        <v>7.0921985815602856E-2</v>
      </c>
      <c r="L122" s="371">
        <v>1</v>
      </c>
      <c r="M122" s="371">
        <v>0</v>
      </c>
      <c r="N122" s="366">
        <f t="shared" si="13"/>
        <v>1</v>
      </c>
      <c r="O122" s="370">
        <f t="shared" si="14"/>
        <v>0</v>
      </c>
      <c r="P122" s="370">
        <f t="shared" si="15"/>
        <v>0</v>
      </c>
      <c r="Q122" s="366">
        <f t="shared" si="18"/>
        <v>1</v>
      </c>
      <c r="R122" s="370">
        <f t="shared" si="12"/>
        <v>0</v>
      </c>
      <c r="S122" s="366">
        <f t="shared" si="19"/>
        <v>0</v>
      </c>
      <c r="T122" s="366">
        <v>0</v>
      </c>
      <c r="U122" s="370">
        <f t="shared" si="16"/>
        <v>0</v>
      </c>
      <c r="V122" s="370"/>
      <c r="W122" s="372"/>
      <c r="X122" s="370"/>
      <c r="Y122" s="370"/>
      <c r="Z122" s="370"/>
      <c r="AA122" s="370"/>
      <c r="AB122" s="370"/>
      <c r="AC122" s="370"/>
      <c r="AD122" s="370"/>
      <c r="AE122" s="370"/>
      <c r="AF122" s="370"/>
      <c r="AG122" s="370"/>
      <c r="AH122" s="370"/>
      <c r="AI122" s="370"/>
      <c r="AJ122" s="366"/>
      <c r="AK122" s="366"/>
      <c r="AL122" s="360"/>
      <c r="AM122" s="305" t="s">
        <v>823</v>
      </c>
      <c r="AN122" s="305"/>
      <c r="AO122" s="305"/>
      <c r="AP122" s="305"/>
      <c r="AQ122" s="305"/>
      <c r="AR122" s="305"/>
      <c r="AS122" s="305"/>
      <c r="AT122" s="305"/>
      <c r="AU122" s="305"/>
      <c r="AV122" s="305"/>
    </row>
    <row r="123" spans="1:48" s="306" customFormat="1" ht="39" hidden="1">
      <c r="A123" s="304" t="s">
        <v>379</v>
      </c>
      <c r="B123" s="304" t="s">
        <v>736</v>
      </c>
      <c r="C123" s="341" t="s">
        <v>797</v>
      </c>
      <c r="D123" s="284"/>
      <c r="E123" s="284"/>
      <c r="F123" s="284"/>
      <c r="G123" s="284"/>
      <c r="H123" s="284"/>
      <c r="I123" s="284"/>
      <c r="J123" s="366">
        <v>1</v>
      </c>
      <c r="K123" s="370">
        <f t="shared" si="17"/>
        <v>7.0921985815602856E-2</v>
      </c>
      <c r="L123" s="371">
        <v>1</v>
      </c>
      <c r="M123" s="371">
        <v>0</v>
      </c>
      <c r="N123" s="366">
        <f t="shared" si="13"/>
        <v>1</v>
      </c>
      <c r="O123" s="370">
        <f t="shared" si="14"/>
        <v>0</v>
      </c>
      <c r="P123" s="370">
        <f t="shared" si="15"/>
        <v>0</v>
      </c>
      <c r="Q123" s="366">
        <f t="shared" si="18"/>
        <v>1</v>
      </c>
      <c r="R123" s="370">
        <f t="shared" si="12"/>
        <v>0</v>
      </c>
      <c r="S123" s="366">
        <f t="shared" si="19"/>
        <v>0</v>
      </c>
      <c r="T123" s="366">
        <v>0</v>
      </c>
      <c r="U123" s="370">
        <f t="shared" si="16"/>
        <v>0</v>
      </c>
      <c r="V123" s="370"/>
      <c r="W123" s="372"/>
      <c r="X123" s="370"/>
      <c r="Y123" s="370"/>
      <c r="Z123" s="370"/>
      <c r="AA123" s="370"/>
      <c r="AB123" s="370"/>
      <c r="AC123" s="370"/>
      <c r="AD123" s="370"/>
      <c r="AE123" s="370"/>
      <c r="AF123" s="370"/>
      <c r="AG123" s="370"/>
      <c r="AH123" s="370"/>
      <c r="AI123" s="370"/>
      <c r="AJ123" s="366"/>
      <c r="AK123" s="366"/>
      <c r="AL123" s="360"/>
      <c r="AM123" s="305" t="s">
        <v>823</v>
      </c>
      <c r="AN123" s="305"/>
      <c r="AO123" s="305"/>
      <c r="AP123" s="305"/>
      <c r="AQ123" s="305"/>
      <c r="AR123" s="305"/>
      <c r="AS123" s="305"/>
      <c r="AT123" s="305"/>
      <c r="AU123" s="305"/>
      <c r="AV123" s="305"/>
    </row>
    <row r="124" spans="1:48" s="306" customFormat="1" ht="39" hidden="1">
      <c r="A124" s="304" t="s">
        <v>381</v>
      </c>
      <c r="B124" s="304" t="s">
        <v>737</v>
      </c>
      <c r="C124" s="341" t="s">
        <v>797</v>
      </c>
      <c r="D124" s="284"/>
      <c r="E124" s="284"/>
      <c r="F124" s="284"/>
      <c r="G124" s="284"/>
      <c r="H124" s="284"/>
      <c r="I124" s="284"/>
      <c r="J124" s="366">
        <v>5</v>
      </c>
      <c r="K124" s="370">
        <f t="shared" si="17"/>
        <v>0.17730496453900713</v>
      </c>
      <c r="L124" s="371">
        <v>2.5</v>
      </c>
      <c r="M124" s="371">
        <v>0</v>
      </c>
      <c r="N124" s="366">
        <f t="shared" si="13"/>
        <v>5</v>
      </c>
      <c r="O124" s="370">
        <f t="shared" si="14"/>
        <v>0</v>
      </c>
      <c r="P124" s="370">
        <f t="shared" si="15"/>
        <v>0</v>
      </c>
      <c r="Q124" s="366">
        <f t="shared" si="18"/>
        <v>5</v>
      </c>
      <c r="R124" s="370">
        <f t="shared" si="12"/>
        <v>0</v>
      </c>
      <c r="S124" s="366">
        <f t="shared" si="19"/>
        <v>0</v>
      </c>
      <c r="T124" s="366">
        <v>0</v>
      </c>
      <c r="U124" s="370">
        <f t="shared" si="16"/>
        <v>0</v>
      </c>
      <c r="V124" s="370"/>
      <c r="W124" s="372"/>
      <c r="X124" s="370"/>
      <c r="Y124" s="370"/>
      <c r="Z124" s="370"/>
      <c r="AA124" s="370"/>
      <c r="AB124" s="370"/>
      <c r="AC124" s="370"/>
      <c r="AD124" s="370"/>
      <c r="AE124" s="370"/>
      <c r="AF124" s="370"/>
      <c r="AG124" s="370"/>
      <c r="AH124" s="370"/>
      <c r="AI124" s="370"/>
      <c r="AJ124" s="366"/>
      <c r="AK124" s="366"/>
      <c r="AL124" s="360"/>
      <c r="AM124" s="305" t="s">
        <v>823</v>
      </c>
      <c r="AN124" s="305"/>
      <c r="AO124" s="305"/>
      <c r="AP124" s="305"/>
      <c r="AQ124" s="305"/>
      <c r="AR124" s="305"/>
      <c r="AS124" s="305"/>
      <c r="AT124" s="305"/>
      <c r="AU124" s="305"/>
      <c r="AV124" s="305"/>
    </row>
    <row r="125" spans="1:48" s="306" customFormat="1" ht="39" hidden="1">
      <c r="A125" s="304" t="s">
        <v>383</v>
      </c>
      <c r="B125" s="304" t="s">
        <v>738</v>
      </c>
      <c r="C125" s="341" t="s">
        <v>797</v>
      </c>
      <c r="D125" s="284"/>
      <c r="E125" s="284"/>
      <c r="F125" s="284"/>
      <c r="G125" s="284"/>
      <c r="H125" s="284"/>
      <c r="I125" s="284"/>
      <c r="J125" s="366">
        <v>1</v>
      </c>
      <c r="K125" s="370">
        <f t="shared" si="17"/>
        <v>0</v>
      </c>
      <c r="L125" s="371">
        <v>0</v>
      </c>
      <c r="M125" s="371">
        <v>0</v>
      </c>
      <c r="N125" s="366">
        <f t="shared" si="13"/>
        <v>1</v>
      </c>
      <c r="O125" s="370">
        <f t="shared" si="14"/>
        <v>0</v>
      </c>
      <c r="P125" s="370">
        <f t="shared" si="15"/>
        <v>0</v>
      </c>
      <c r="Q125" s="366">
        <f t="shared" si="18"/>
        <v>1</v>
      </c>
      <c r="R125" s="370">
        <f t="shared" si="12"/>
        <v>0</v>
      </c>
      <c r="S125" s="366">
        <v>0</v>
      </c>
      <c r="T125" s="366">
        <v>0</v>
      </c>
      <c r="U125" s="370">
        <f t="shared" si="16"/>
        <v>0</v>
      </c>
      <c r="V125" s="370"/>
      <c r="W125" s="372"/>
      <c r="X125" s="370"/>
      <c r="Y125" s="370"/>
      <c r="Z125" s="370"/>
      <c r="AA125" s="370"/>
      <c r="AB125" s="370"/>
      <c r="AC125" s="370"/>
      <c r="AD125" s="370"/>
      <c r="AE125" s="370"/>
      <c r="AF125" s="370"/>
      <c r="AG125" s="370"/>
      <c r="AH125" s="370"/>
      <c r="AI125" s="370"/>
      <c r="AJ125" s="366"/>
      <c r="AK125" s="366"/>
      <c r="AL125" s="360"/>
      <c r="AM125" s="305" t="s">
        <v>823</v>
      </c>
      <c r="AN125" s="305"/>
      <c r="AO125" s="305"/>
      <c r="AP125" s="305"/>
      <c r="AQ125" s="305"/>
      <c r="AR125" s="305"/>
      <c r="AS125" s="305"/>
      <c r="AT125" s="305"/>
      <c r="AU125" s="305"/>
      <c r="AV125" s="305"/>
    </row>
    <row r="126" spans="1:48" s="306" customFormat="1" ht="58.5" hidden="1">
      <c r="A126" s="304" t="s">
        <v>385</v>
      </c>
      <c r="B126" s="304" t="s">
        <v>739</v>
      </c>
      <c r="C126" s="341" t="s">
        <v>797</v>
      </c>
      <c r="D126" s="284"/>
      <c r="E126" s="284"/>
      <c r="F126" s="284"/>
      <c r="G126" s="284"/>
      <c r="H126" s="284"/>
      <c r="I126" s="284"/>
      <c r="J126" s="366">
        <v>1</v>
      </c>
      <c r="K126" s="370">
        <f t="shared" si="17"/>
        <v>0</v>
      </c>
      <c r="L126" s="371">
        <v>0</v>
      </c>
      <c r="M126" s="371">
        <v>0</v>
      </c>
      <c r="N126" s="366">
        <f t="shared" si="13"/>
        <v>1</v>
      </c>
      <c r="O126" s="370">
        <f t="shared" si="14"/>
        <v>0</v>
      </c>
      <c r="P126" s="370">
        <f t="shared" si="15"/>
        <v>0</v>
      </c>
      <c r="Q126" s="366">
        <f t="shared" si="18"/>
        <v>1</v>
      </c>
      <c r="R126" s="370">
        <f t="shared" si="12"/>
        <v>0</v>
      </c>
      <c r="S126" s="366">
        <v>0</v>
      </c>
      <c r="T126" s="366">
        <v>0</v>
      </c>
      <c r="U126" s="370">
        <f t="shared" si="16"/>
        <v>0</v>
      </c>
      <c r="V126" s="370"/>
      <c r="W126" s="372"/>
      <c r="X126" s="370"/>
      <c r="Y126" s="370"/>
      <c r="Z126" s="370"/>
      <c r="AA126" s="370"/>
      <c r="AB126" s="370"/>
      <c r="AC126" s="370"/>
      <c r="AD126" s="370"/>
      <c r="AE126" s="370"/>
      <c r="AF126" s="370"/>
      <c r="AG126" s="370"/>
      <c r="AH126" s="370"/>
      <c r="AI126" s="370"/>
      <c r="AJ126" s="366"/>
      <c r="AK126" s="366"/>
      <c r="AL126" s="360"/>
      <c r="AM126" s="305" t="s">
        <v>823</v>
      </c>
      <c r="AN126" s="305"/>
      <c r="AO126" s="305"/>
      <c r="AP126" s="305"/>
      <c r="AQ126" s="305"/>
      <c r="AR126" s="305"/>
      <c r="AS126" s="305"/>
      <c r="AT126" s="305"/>
      <c r="AU126" s="305"/>
      <c r="AV126" s="305"/>
    </row>
    <row r="127" spans="1:48" s="306" customFormat="1" ht="58.5" hidden="1">
      <c r="A127" s="304" t="s">
        <v>387</v>
      </c>
      <c r="B127" s="304" t="s">
        <v>740</v>
      </c>
      <c r="C127" s="341" t="s">
        <v>797</v>
      </c>
      <c r="D127" s="284"/>
      <c r="E127" s="284"/>
      <c r="F127" s="284"/>
      <c r="G127" s="284"/>
      <c r="H127" s="284"/>
      <c r="I127" s="284"/>
      <c r="J127" s="366">
        <v>5</v>
      </c>
      <c r="K127" s="370">
        <f t="shared" si="17"/>
        <v>0.35460992907801425</v>
      </c>
      <c r="L127" s="371">
        <v>5</v>
      </c>
      <c r="M127" s="371">
        <v>5</v>
      </c>
      <c r="N127" s="366">
        <f t="shared" si="13"/>
        <v>5</v>
      </c>
      <c r="O127" s="370">
        <f t="shared" si="14"/>
        <v>0.7092198581560285</v>
      </c>
      <c r="P127" s="370">
        <f t="shared" si="15"/>
        <v>5</v>
      </c>
      <c r="Q127" s="366">
        <f t="shared" si="18"/>
        <v>5</v>
      </c>
      <c r="R127" s="370">
        <f t="shared" si="12"/>
        <v>0.7092198581560285</v>
      </c>
      <c r="S127" s="366">
        <f t="shared" ref="S127:S134" si="20">ROUND(IF(O127=0,R127/K127*100,R127/O127*100),2)</f>
        <v>100</v>
      </c>
      <c r="T127" s="366">
        <v>4.7699999999999996</v>
      </c>
      <c r="U127" s="370">
        <f t="shared" si="16"/>
        <v>95.399999999999991</v>
      </c>
      <c r="V127" s="370"/>
      <c r="W127" s="372"/>
      <c r="X127" s="370"/>
      <c r="Y127" s="370"/>
      <c r="Z127" s="370"/>
      <c r="AA127" s="370"/>
      <c r="AB127" s="370"/>
      <c r="AC127" s="370"/>
      <c r="AD127" s="370"/>
      <c r="AE127" s="370"/>
      <c r="AF127" s="370"/>
      <c r="AG127" s="370"/>
      <c r="AH127" s="370"/>
      <c r="AI127" s="370"/>
      <c r="AJ127" s="366"/>
      <c r="AK127" s="366"/>
      <c r="AL127" s="360"/>
      <c r="AM127" s="305" t="s">
        <v>823</v>
      </c>
      <c r="AN127" s="305"/>
      <c r="AO127" s="305"/>
      <c r="AP127" s="305"/>
      <c r="AQ127" s="305"/>
      <c r="AR127" s="305"/>
      <c r="AS127" s="305"/>
      <c r="AT127" s="305"/>
      <c r="AU127" s="305"/>
      <c r="AV127" s="305"/>
    </row>
    <row r="128" spans="1:48" s="306" customFormat="1" ht="39" hidden="1">
      <c r="A128" s="304" t="s">
        <v>537</v>
      </c>
      <c r="B128" s="304" t="s">
        <v>741</v>
      </c>
      <c r="C128" s="340" t="s">
        <v>794</v>
      </c>
      <c r="D128" s="284"/>
      <c r="E128" s="284"/>
      <c r="F128" s="284"/>
      <c r="G128" s="284"/>
      <c r="H128" s="284"/>
      <c r="I128" s="284"/>
      <c r="J128" s="366">
        <v>4</v>
      </c>
      <c r="K128" s="370">
        <f t="shared" si="17"/>
        <v>4.9645390070921991</v>
      </c>
      <c r="L128" s="371">
        <v>70</v>
      </c>
      <c r="M128" s="371">
        <v>0</v>
      </c>
      <c r="N128" s="366">
        <f t="shared" si="13"/>
        <v>4</v>
      </c>
      <c r="O128" s="370">
        <f t="shared" si="14"/>
        <v>0</v>
      </c>
      <c r="P128" s="370">
        <f t="shared" si="15"/>
        <v>0</v>
      </c>
      <c r="Q128" s="366">
        <f t="shared" si="18"/>
        <v>4</v>
      </c>
      <c r="R128" s="370">
        <f t="shared" si="12"/>
        <v>0</v>
      </c>
      <c r="S128" s="366">
        <f t="shared" si="20"/>
        <v>0</v>
      </c>
      <c r="T128" s="366">
        <v>0</v>
      </c>
      <c r="U128" s="370">
        <f t="shared" si="16"/>
        <v>0</v>
      </c>
      <c r="V128" s="370"/>
      <c r="W128" s="372"/>
      <c r="X128" s="370"/>
      <c r="Y128" s="370"/>
      <c r="Z128" s="370"/>
      <c r="AA128" s="370"/>
      <c r="AB128" s="370"/>
      <c r="AC128" s="370"/>
      <c r="AD128" s="370"/>
      <c r="AE128" s="370"/>
      <c r="AF128" s="370"/>
      <c r="AG128" s="370"/>
      <c r="AH128" s="370"/>
      <c r="AI128" s="370"/>
      <c r="AJ128" s="366"/>
      <c r="AK128" s="366"/>
      <c r="AL128" s="360"/>
      <c r="AM128" s="305" t="s">
        <v>823</v>
      </c>
      <c r="AN128" s="305"/>
      <c r="AO128" s="305"/>
      <c r="AP128" s="305"/>
      <c r="AQ128" s="305"/>
      <c r="AR128" s="305"/>
      <c r="AS128" s="305"/>
      <c r="AT128" s="305"/>
      <c r="AU128" s="305"/>
      <c r="AV128" s="305"/>
    </row>
    <row r="129" spans="1:48" s="306" customFormat="1" ht="58.5" hidden="1">
      <c r="A129" s="304" t="s">
        <v>389</v>
      </c>
      <c r="B129" s="304" t="s">
        <v>742</v>
      </c>
      <c r="C129" s="341" t="s">
        <v>797</v>
      </c>
      <c r="D129" s="284"/>
      <c r="E129" s="284"/>
      <c r="F129" s="284"/>
      <c r="G129" s="284"/>
      <c r="H129" s="284"/>
      <c r="I129" s="284"/>
      <c r="J129" s="366">
        <v>6</v>
      </c>
      <c r="K129" s="370">
        <f t="shared" si="17"/>
        <v>1.7021276595744685</v>
      </c>
      <c r="L129" s="371">
        <v>24</v>
      </c>
      <c r="M129" s="371">
        <v>20</v>
      </c>
      <c r="N129" s="366">
        <f t="shared" si="13"/>
        <v>6</v>
      </c>
      <c r="O129" s="370">
        <f t="shared" si="14"/>
        <v>2.836879432624114</v>
      </c>
      <c r="P129" s="370">
        <f t="shared" si="15"/>
        <v>20</v>
      </c>
      <c r="Q129" s="366">
        <f t="shared" si="18"/>
        <v>6</v>
      </c>
      <c r="R129" s="370">
        <f t="shared" si="12"/>
        <v>2.836879432624114</v>
      </c>
      <c r="S129" s="366">
        <f t="shared" si="20"/>
        <v>100</v>
      </c>
      <c r="T129" s="366">
        <v>19.98</v>
      </c>
      <c r="U129" s="370">
        <f t="shared" si="16"/>
        <v>99.9</v>
      </c>
      <c r="V129" s="370"/>
      <c r="W129" s="372"/>
      <c r="X129" s="370"/>
      <c r="Y129" s="370"/>
      <c r="Z129" s="370"/>
      <c r="AA129" s="370"/>
      <c r="AB129" s="370"/>
      <c r="AC129" s="370"/>
      <c r="AD129" s="370"/>
      <c r="AE129" s="370"/>
      <c r="AF129" s="370"/>
      <c r="AG129" s="370"/>
      <c r="AH129" s="370"/>
      <c r="AI129" s="370"/>
      <c r="AJ129" s="366"/>
      <c r="AK129" s="366"/>
      <c r="AL129" s="360"/>
      <c r="AM129" s="305" t="s">
        <v>823</v>
      </c>
      <c r="AN129" s="305"/>
      <c r="AO129" s="305"/>
      <c r="AP129" s="305"/>
      <c r="AQ129" s="305"/>
      <c r="AR129" s="305"/>
      <c r="AS129" s="305"/>
      <c r="AT129" s="305"/>
      <c r="AU129" s="305"/>
      <c r="AV129" s="305"/>
    </row>
    <row r="130" spans="1:48" s="306" customFormat="1" ht="58.5" hidden="1">
      <c r="A130" s="304" t="s">
        <v>391</v>
      </c>
      <c r="B130" s="304" t="s">
        <v>743</v>
      </c>
      <c r="C130" s="341" t="s">
        <v>797</v>
      </c>
      <c r="D130" s="284"/>
      <c r="E130" s="284"/>
      <c r="F130" s="284"/>
      <c r="G130" s="284"/>
      <c r="H130" s="284"/>
      <c r="I130" s="284"/>
      <c r="J130" s="366">
        <v>6</v>
      </c>
      <c r="K130" s="370">
        <f t="shared" si="17"/>
        <v>0.42553191489361714</v>
      </c>
      <c r="L130" s="371">
        <v>6</v>
      </c>
      <c r="M130" s="371">
        <v>5</v>
      </c>
      <c r="N130" s="366">
        <f t="shared" si="13"/>
        <v>6</v>
      </c>
      <c r="O130" s="370">
        <f t="shared" si="14"/>
        <v>0.7092198581560285</v>
      </c>
      <c r="P130" s="370">
        <f t="shared" si="15"/>
        <v>5</v>
      </c>
      <c r="Q130" s="366">
        <f t="shared" si="18"/>
        <v>6</v>
      </c>
      <c r="R130" s="370">
        <f t="shared" si="12"/>
        <v>0.7092198581560285</v>
      </c>
      <c r="S130" s="366">
        <f t="shared" si="20"/>
        <v>100</v>
      </c>
      <c r="T130" s="366">
        <v>4.8</v>
      </c>
      <c r="U130" s="370">
        <f t="shared" si="16"/>
        <v>96</v>
      </c>
      <c r="V130" s="370"/>
      <c r="W130" s="372"/>
      <c r="X130" s="370"/>
      <c r="Y130" s="370"/>
      <c r="Z130" s="370"/>
      <c r="AA130" s="370"/>
      <c r="AB130" s="370"/>
      <c r="AC130" s="370"/>
      <c r="AD130" s="370"/>
      <c r="AE130" s="370"/>
      <c r="AF130" s="370"/>
      <c r="AG130" s="370"/>
      <c r="AH130" s="370"/>
      <c r="AI130" s="370"/>
      <c r="AJ130" s="366"/>
      <c r="AK130" s="366"/>
      <c r="AL130" s="360"/>
      <c r="AM130" s="305" t="s">
        <v>823</v>
      </c>
      <c r="AN130" s="305"/>
      <c r="AO130" s="305"/>
      <c r="AP130" s="305"/>
      <c r="AQ130" s="305"/>
      <c r="AR130" s="305"/>
      <c r="AS130" s="305"/>
      <c r="AT130" s="305"/>
      <c r="AU130" s="305"/>
      <c r="AV130" s="305"/>
    </row>
    <row r="131" spans="1:48" s="306" customFormat="1" ht="39" hidden="1">
      <c r="A131" s="304" t="s">
        <v>393</v>
      </c>
      <c r="B131" s="304" t="s">
        <v>744</v>
      </c>
      <c r="C131" s="341" t="s">
        <v>797</v>
      </c>
      <c r="D131" s="284"/>
      <c r="E131" s="284"/>
      <c r="F131" s="284"/>
      <c r="G131" s="284"/>
      <c r="H131" s="284"/>
      <c r="I131" s="284"/>
      <c r="J131" s="366">
        <v>0.5</v>
      </c>
      <c r="K131" s="370">
        <f t="shared" si="17"/>
        <v>3.5460992907801428E-2</v>
      </c>
      <c r="L131" s="371">
        <v>0.5</v>
      </c>
      <c r="M131" s="371">
        <v>0</v>
      </c>
      <c r="N131" s="366">
        <f t="shared" si="13"/>
        <v>0.5</v>
      </c>
      <c r="O131" s="370">
        <f t="shared" si="14"/>
        <v>0</v>
      </c>
      <c r="P131" s="370">
        <f t="shared" si="15"/>
        <v>0</v>
      </c>
      <c r="Q131" s="366">
        <f t="shared" si="18"/>
        <v>0.5</v>
      </c>
      <c r="R131" s="370">
        <f t="shared" si="12"/>
        <v>0</v>
      </c>
      <c r="S131" s="366">
        <f t="shared" si="20"/>
        <v>0</v>
      </c>
      <c r="T131" s="366">
        <v>0</v>
      </c>
      <c r="U131" s="370">
        <f t="shared" si="16"/>
        <v>0</v>
      </c>
      <c r="V131" s="370"/>
      <c r="W131" s="372"/>
      <c r="X131" s="370"/>
      <c r="Y131" s="370"/>
      <c r="Z131" s="370"/>
      <c r="AA131" s="370"/>
      <c r="AB131" s="370"/>
      <c r="AC131" s="370"/>
      <c r="AD131" s="370"/>
      <c r="AE131" s="370"/>
      <c r="AF131" s="370"/>
      <c r="AG131" s="370"/>
      <c r="AH131" s="370"/>
      <c r="AI131" s="370"/>
      <c r="AJ131" s="366"/>
      <c r="AK131" s="366"/>
      <c r="AL131" s="360"/>
      <c r="AM131" s="305" t="s">
        <v>823</v>
      </c>
      <c r="AN131" s="305"/>
      <c r="AO131" s="305"/>
      <c r="AP131" s="305"/>
      <c r="AQ131" s="305"/>
      <c r="AR131" s="305"/>
      <c r="AS131" s="305"/>
      <c r="AT131" s="305"/>
      <c r="AU131" s="305"/>
      <c r="AV131" s="305"/>
    </row>
    <row r="132" spans="1:48" s="306" customFormat="1" ht="39">
      <c r="A132" s="304" t="s">
        <v>450</v>
      </c>
      <c r="B132" s="304" t="s">
        <v>745</v>
      </c>
      <c r="C132" s="341" t="s">
        <v>797</v>
      </c>
      <c r="D132" s="284"/>
      <c r="E132" s="284"/>
      <c r="F132" s="284"/>
      <c r="G132" s="284"/>
      <c r="H132" s="284"/>
      <c r="I132" s="284"/>
      <c r="J132" s="366">
        <v>1</v>
      </c>
      <c r="K132" s="370">
        <f t="shared" si="17"/>
        <v>0.28368794326241142</v>
      </c>
      <c r="L132" s="371">
        <v>4</v>
      </c>
      <c r="M132" s="371"/>
      <c r="N132" s="366">
        <f t="shared" si="13"/>
        <v>1</v>
      </c>
      <c r="O132" s="370">
        <f t="shared" si="14"/>
        <v>0</v>
      </c>
      <c r="P132" s="370">
        <f t="shared" si="15"/>
        <v>0</v>
      </c>
      <c r="Q132" s="366">
        <f t="shared" si="18"/>
        <v>1</v>
      </c>
      <c r="R132" s="370">
        <f t="shared" si="12"/>
        <v>0</v>
      </c>
      <c r="S132" s="366">
        <f t="shared" si="20"/>
        <v>0</v>
      </c>
      <c r="T132" s="366">
        <v>0</v>
      </c>
      <c r="U132" s="370">
        <f t="shared" si="16"/>
        <v>0</v>
      </c>
      <c r="V132" s="370"/>
      <c r="W132" s="372"/>
      <c r="X132" s="370"/>
      <c r="Y132" s="370"/>
      <c r="Z132" s="370"/>
      <c r="AA132" s="370"/>
      <c r="AB132" s="370"/>
      <c r="AC132" s="370"/>
      <c r="AD132" s="370"/>
      <c r="AE132" s="370"/>
      <c r="AF132" s="370"/>
      <c r="AG132" s="370"/>
      <c r="AH132" s="370"/>
      <c r="AI132" s="370"/>
      <c r="AJ132" s="366"/>
      <c r="AK132" s="366"/>
      <c r="AL132" s="360"/>
      <c r="AM132" s="305" t="s">
        <v>820</v>
      </c>
      <c r="AN132" s="305"/>
      <c r="AO132" s="305"/>
      <c r="AP132" s="305"/>
      <c r="AQ132" s="305"/>
      <c r="AR132" s="305"/>
      <c r="AS132" s="305"/>
      <c r="AT132" s="305"/>
      <c r="AU132" s="305"/>
      <c r="AV132" s="305"/>
    </row>
    <row r="133" spans="1:48" s="306" customFormat="1" ht="58.5" hidden="1">
      <c r="A133" s="304" t="s">
        <v>395</v>
      </c>
      <c r="B133" s="304" t="s">
        <v>746</v>
      </c>
      <c r="C133" s="340" t="s">
        <v>794</v>
      </c>
      <c r="D133" s="284"/>
      <c r="E133" s="284"/>
      <c r="F133" s="284"/>
      <c r="G133" s="284"/>
      <c r="H133" s="284"/>
      <c r="I133" s="284"/>
      <c r="J133" s="366">
        <v>5</v>
      </c>
      <c r="K133" s="370">
        <f t="shared" si="17"/>
        <v>0.35460992907801425</v>
      </c>
      <c r="L133" s="371">
        <v>5</v>
      </c>
      <c r="M133" s="371">
        <v>5</v>
      </c>
      <c r="N133" s="366">
        <f t="shared" si="13"/>
        <v>5</v>
      </c>
      <c r="O133" s="370">
        <f t="shared" si="14"/>
        <v>0.7092198581560285</v>
      </c>
      <c r="P133" s="370">
        <f t="shared" si="15"/>
        <v>5</v>
      </c>
      <c r="Q133" s="366">
        <f t="shared" si="18"/>
        <v>5</v>
      </c>
      <c r="R133" s="370">
        <f t="shared" si="12"/>
        <v>0.7092198581560285</v>
      </c>
      <c r="S133" s="366">
        <f t="shared" si="20"/>
        <v>100</v>
      </c>
      <c r="T133" s="366">
        <v>4.8</v>
      </c>
      <c r="U133" s="370">
        <f t="shared" si="16"/>
        <v>96</v>
      </c>
      <c r="V133" s="370"/>
      <c r="W133" s="372"/>
      <c r="X133" s="370"/>
      <c r="Y133" s="370"/>
      <c r="Z133" s="370"/>
      <c r="AA133" s="370"/>
      <c r="AB133" s="370"/>
      <c r="AC133" s="370"/>
      <c r="AD133" s="370"/>
      <c r="AE133" s="370"/>
      <c r="AF133" s="370"/>
      <c r="AG133" s="370"/>
      <c r="AH133" s="370"/>
      <c r="AI133" s="370"/>
      <c r="AJ133" s="366"/>
      <c r="AK133" s="366"/>
      <c r="AL133" s="360"/>
      <c r="AM133" s="305" t="s">
        <v>823</v>
      </c>
      <c r="AN133" s="305"/>
      <c r="AO133" s="305"/>
      <c r="AP133" s="305"/>
      <c r="AQ133" s="305"/>
      <c r="AR133" s="305"/>
      <c r="AS133" s="305"/>
      <c r="AT133" s="305"/>
      <c r="AU133" s="305"/>
      <c r="AV133" s="305"/>
    </row>
    <row r="134" spans="1:48" s="306" customFormat="1" ht="58.5" hidden="1">
      <c r="A134" s="334" t="s">
        <v>600</v>
      </c>
      <c r="B134" s="334" t="s">
        <v>747</v>
      </c>
      <c r="C134" s="342" t="s">
        <v>794</v>
      </c>
      <c r="D134" s="281"/>
      <c r="E134" s="281"/>
      <c r="F134" s="281"/>
      <c r="G134" s="281"/>
      <c r="H134" s="281"/>
      <c r="I134" s="281"/>
      <c r="J134" s="374">
        <v>2</v>
      </c>
      <c r="K134" s="375">
        <f t="shared" si="17"/>
        <v>0.7092198581560285</v>
      </c>
      <c r="L134" s="376">
        <v>10</v>
      </c>
      <c r="M134" s="376">
        <v>10</v>
      </c>
      <c r="N134" s="374">
        <f t="shared" si="13"/>
        <v>2</v>
      </c>
      <c r="O134" s="375">
        <f t="shared" si="14"/>
        <v>1.418439716312057</v>
      </c>
      <c r="P134" s="375">
        <f t="shared" si="15"/>
        <v>10</v>
      </c>
      <c r="Q134" s="374">
        <v>1</v>
      </c>
      <c r="R134" s="375">
        <f t="shared" si="12"/>
        <v>0.7092198581560285</v>
      </c>
      <c r="S134" s="374">
        <f t="shared" si="20"/>
        <v>50</v>
      </c>
      <c r="T134" s="374">
        <v>4.99</v>
      </c>
      <c r="U134" s="375">
        <f t="shared" si="16"/>
        <v>49.9</v>
      </c>
      <c r="V134" s="375"/>
      <c r="W134" s="378"/>
      <c r="X134" s="375"/>
      <c r="Y134" s="375"/>
      <c r="Z134" s="375"/>
      <c r="AA134" s="375"/>
      <c r="AB134" s="375"/>
      <c r="AC134" s="375"/>
      <c r="AD134" s="375"/>
      <c r="AE134" s="375"/>
      <c r="AF134" s="375"/>
      <c r="AG134" s="375"/>
      <c r="AH134" s="375"/>
      <c r="AI134" s="375"/>
      <c r="AJ134" s="374"/>
      <c r="AK134" s="374"/>
      <c r="AL134" s="361"/>
      <c r="AM134" s="305" t="s">
        <v>823</v>
      </c>
      <c r="AN134" s="305"/>
      <c r="AO134" s="305"/>
      <c r="AP134" s="305"/>
      <c r="AQ134" s="305"/>
      <c r="AR134" s="305"/>
      <c r="AS134" s="305"/>
      <c r="AT134" s="305"/>
      <c r="AU134" s="305"/>
      <c r="AV134" s="305"/>
    </row>
    <row r="135" spans="1:48" s="177" customFormat="1" ht="19.5" hidden="1">
      <c r="A135" s="406" t="s">
        <v>748</v>
      </c>
      <c r="B135" s="407" t="s">
        <v>749</v>
      </c>
      <c r="C135" s="406"/>
      <c r="D135" s="406"/>
      <c r="E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406">
        <f>SUM(G32:G32)</f>
        <v>0</v>
      </c>
      <c r="H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409"/>
      <c r="K135" s="410">
        <f>SUM(K22:K30,K32:K33,K35,K37,K39,K41,K43,K45,K47,K49,K51,K53,K55,K57,K59,K61,K63,K65,K67:K134)</f>
        <v>99.999999999999943</v>
      </c>
      <c r="L135" s="410">
        <f>SUM(L22:L30,L32:L33,L35,L37,L39,L41,L43,L45,L47,L49,L51,L53,L55,L57,L59,L61,L63,L65,L67:L134)</f>
        <v>1409.9999999999998</v>
      </c>
      <c r="M135" s="410">
        <f>SUM(M22:M134)</f>
        <v>704.99999999999989</v>
      </c>
      <c r="N135" s="409"/>
      <c r="O135" s="410">
        <f>SUM(O22:O30,O32:O33,O35,O37,O39,O41,O43,O45,O47,O49,O51,O53,O55,O57,O59,O61,O63,O65,O67:O134)</f>
        <v>77.920567375886563</v>
      </c>
      <c r="P135" s="410">
        <f>SUM(P22:P134)</f>
        <v>704.99999999999989</v>
      </c>
      <c r="Q135" s="410"/>
      <c r="R135" s="410">
        <f>SUM(R22:R30,R32:R33,R35,R37,R39,R41,R43,R45,R47,R49,R51,R53,R55,R57,R59,R61,R63,R65,R67:R134)</f>
        <v>77.211347517730545</v>
      </c>
      <c r="S135" s="410">
        <f>R135/O135*100</f>
        <v>99.089816871154497</v>
      </c>
      <c r="T135" s="410">
        <f>SUM(T22:T134)</f>
        <v>683.29</v>
      </c>
      <c r="U135" s="410">
        <f>T135*100/P135</f>
        <v>96.920567375886534</v>
      </c>
      <c r="V135" s="369"/>
      <c r="W135" s="369">
        <f>SUM(W31:W134)</f>
        <v>11.120000000000001</v>
      </c>
      <c r="X135" s="369" t="e">
        <f>#REF!+#REF!+#REF!+#REF!</f>
        <v>#REF!</v>
      </c>
      <c r="Y135" s="369"/>
      <c r="Z135" s="369"/>
      <c r="AA135" s="369">
        <f>SUM(AA31:AA134)</f>
        <v>2.8155319148936169</v>
      </c>
      <c r="AB135" s="369"/>
      <c r="AC135" s="369"/>
      <c r="AD135" s="369"/>
      <c r="AE135" s="369"/>
      <c r="AF135" s="369"/>
      <c r="AG135" s="369"/>
      <c r="AH135" s="369"/>
      <c r="AI135" s="369">
        <f>SUM(AI31:AI134)</f>
        <v>3.410283687943263</v>
      </c>
      <c r="AJ135" s="373"/>
      <c r="AK135" s="373"/>
      <c r="AL135" s="331"/>
      <c r="AM135" s="220"/>
      <c r="AN135" s="220"/>
      <c r="AO135" s="220"/>
      <c r="AP135" s="220"/>
      <c r="AQ135" s="220"/>
      <c r="AR135" s="220"/>
      <c r="AS135" s="220"/>
      <c r="AT135" s="220"/>
      <c r="AU135" s="220"/>
      <c r="AV135" s="220"/>
    </row>
    <row r="136" spans="1:48" ht="19.5" hidden="1">
      <c r="A136" s="296"/>
      <c r="B136" s="381" t="s">
        <v>756</v>
      </c>
      <c r="C136" s="296"/>
      <c r="D136" s="296"/>
      <c r="E136" s="296">
        <v>100</v>
      </c>
      <c r="F136" s="296" t="e">
        <f t="shared" ref="F136:AI136" si="21">F135</f>
        <v>#REF!</v>
      </c>
      <c r="G136" s="296">
        <f t="shared" si="21"/>
        <v>0</v>
      </c>
      <c r="H136" s="296" t="e">
        <f t="shared" si="21"/>
        <v>#REF!</v>
      </c>
      <c r="I136" s="296" t="e">
        <f t="shared" si="21"/>
        <v>#REF!</v>
      </c>
      <c r="J136" s="382"/>
      <c r="K136" s="383">
        <f t="shared" si="21"/>
        <v>99.999999999999943</v>
      </c>
      <c r="L136" s="383">
        <f>L135</f>
        <v>1409.9999999999998</v>
      </c>
      <c r="M136" s="383"/>
      <c r="N136" s="384"/>
      <c r="O136" s="383">
        <f>O135</f>
        <v>77.920567375886563</v>
      </c>
      <c r="P136" s="383">
        <f>P135</f>
        <v>704.99999999999989</v>
      </c>
      <c r="Q136" s="384"/>
      <c r="R136" s="383">
        <f t="shared" ref="R136:T136" si="22">R135</f>
        <v>77.211347517730545</v>
      </c>
      <c r="S136" s="383">
        <f t="shared" si="22"/>
        <v>99.089816871154497</v>
      </c>
      <c r="T136" s="383">
        <f t="shared" si="22"/>
        <v>683.29</v>
      </c>
      <c r="U136" s="385">
        <f>T136*100/P136</f>
        <v>96.920567375886534</v>
      </c>
      <c r="V136" s="382"/>
      <c r="W136" s="382">
        <f t="shared" si="21"/>
        <v>11.120000000000001</v>
      </c>
      <c r="X136" s="382" t="e">
        <f t="shared" si="21"/>
        <v>#REF!</v>
      </c>
      <c r="Y136" s="382"/>
      <c r="Z136" s="382"/>
      <c r="AA136" s="377">
        <f t="shared" si="21"/>
        <v>2.8155319148936169</v>
      </c>
      <c r="AB136" s="377"/>
      <c r="AC136" s="377"/>
      <c r="AD136" s="377"/>
      <c r="AE136" s="377"/>
      <c r="AF136" s="377"/>
      <c r="AG136" s="377"/>
      <c r="AH136" s="382"/>
      <c r="AI136" s="377">
        <f t="shared" si="21"/>
        <v>3.410283687943263</v>
      </c>
      <c r="AJ136" s="382"/>
      <c r="AK136" s="382"/>
      <c r="AL136" s="296"/>
      <c r="AM136" s="220"/>
      <c r="AN136" s="220"/>
      <c r="AO136" s="220"/>
      <c r="AP136" s="220"/>
      <c r="AQ136" s="220"/>
      <c r="AR136" s="220"/>
      <c r="AS136" s="220"/>
      <c r="AT136" s="220"/>
      <c r="AU136" s="220"/>
      <c r="AV136" s="220"/>
    </row>
    <row r="137" spans="1:48" s="220" customFormat="1" ht="19.5" hidden="1">
      <c r="A137" s="386"/>
      <c r="B137" s="387"/>
      <c r="C137" s="388"/>
      <c r="D137" s="389"/>
      <c r="E137" s="389"/>
      <c r="F137" s="389"/>
      <c r="G137" s="389"/>
      <c r="H137" s="389"/>
      <c r="I137" s="389"/>
      <c r="J137" s="390"/>
      <c r="K137" s="617"/>
      <c r="L137" s="617"/>
      <c r="M137" s="391"/>
      <c r="N137" s="390"/>
      <c r="O137" s="390"/>
      <c r="P137" s="390"/>
      <c r="Q137" s="390"/>
      <c r="R137" s="390"/>
      <c r="S137" s="390"/>
      <c r="T137" s="390"/>
      <c r="U137" s="390"/>
      <c r="V137" s="390"/>
      <c r="W137" s="390"/>
      <c r="X137" s="390"/>
      <c r="Y137" s="390"/>
      <c r="Z137" s="390"/>
      <c r="AA137" s="389"/>
      <c r="AB137" s="389"/>
      <c r="AC137" s="389"/>
      <c r="AD137" s="389"/>
      <c r="AE137" s="389"/>
      <c r="AF137" s="389"/>
      <c r="AG137" s="389"/>
      <c r="AH137" s="389"/>
      <c r="AI137" s="392"/>
      <c r="AJ137" s="392"/>
      <c r="AK137" s="392"/>
      <c r="AL137" s="393"/>
    </row>
    <row r="138" spans="1:48" s="220" customFormat="1" ht="19.5" hidden="1">
      <c r="A138" s="394"/>
      <c r="C138" s="311"/>
      <c r="D138" s="256"/>
      <c r="E138" s="256"/>
      <c r="F138" s="256"/>
      <c r="G138" s="256"/>
      <c r="H138" s="256"/>
      <c r="I138" s="256"/>
      <c r="J138" s="257"/>
      <c r="K138" s="257"/>
      <c r="L138" s="321"/>
      <c r="M138" s="321"/>
      <c r="N138" s="257"/>
      <c r="O138" s="257"/>
      <c r="P138" s="257"/>
      <c r="Q138" s="257"/>
      <c r="R138" s="257"/>
      <c r="S138" s="257"/>
      <c r="T138" s="257"/>
      <c r="U138" s="257"/>
      <c r="V138" s="257"/>
      <c r="W138" s="257"/>
      <c r="X138" s="257"/>
      <c r="Y138" s="257"/>
      <c r="Z138" s="257"/>
      <c r="AA138" s="256"/>
      <c r="AB138" s="256"/>
      <c r="AC138" s="256"/>
      <c r="AD138" s="256"/>
      <c r="AE138" s="256"/>
      <c r="AF138" s="256"/>
      <c r="AG138" s="256"/>
      <c r="AH138" s="256"/>
      <c r="AI138" s="256"/>
      <c r="AJ138" s="256"/>
      <c r="AK138" s="256"/>
      <c r="AL138" s="395"/>
    </row>
    <row r="139" spans="1:48" s="220" customFormat="1" ht="19.5" hidden="1">
      <c r="A139" s="394"/>
      <c r="C139" s="311"/>
      <c r="D139" s="256"/>
      <c r="E139" s="256"/>
      <c r="F139" s="256"/>
      <c r="G139" s="256"/>
      <c r="H139" s="256"/>
      <c r="I139" s="256"/>
      <c r="J139" s="257"/>
      <c r="K139" s="257"/>
      <c r="L139" s="321"/>
      <c r="M139" s="321"/>
      <c r="N139" s="257"/>
      <c r="O139" s="257"/>
      <c r="P139" s="257"/>
      <c r="Q139" s="257"/>
      <c r="R139" s="257"/>
      <c r="S139" s="257"/>
      <c r="T139" s="257"/>
      <c r="U139" s="257"/>
      <c r="V139" s="257"/>
      <c r="W139" s="257"/>
      <c r="X139" s="257"/>
      <c r="Y139" s="257"/>
      <c r="Z139" s="257"/>
      <c r="AA139" s="256"/>
      <c r="AB139" s="256"/>
      <c r="AC139" s="256"/>
      <c r="AD139" s="256"/>
      <c r="AE139" s="256"/>
      <c r="AF139" s="256"/>
      <c r="AG139" s="256"/>
      <c r="AH139" s="256"/>
      <c r="AI139" s="256"/>
      <c r="AJ139" s="256"/>
      <c r="AK139" s="256"/>
      <c r="AL139" s="395"/>
    </row>
    <row r="140" spans="1:48" s="220" customFormat="1" ht="19.5" hidden="1">
      <c r="A140" s="394"/>
      <c r="B140" s="258" t="s">
        <v>750</v>
      </c>
      <c r="C140" s="312"/>
      <c r="D140" s="259"/>
      <c r="E140" s="259"/>
      <c r="F140" s="259"/>
      <c r="G140" s="259"/>
      <c r="H140" s="259"/>
      <c r="I140" s="259"/>
      <c r="J140" s="260"/>
      <c r="K140" s="261"/>
      <c r="L140" s="322"/>
      <c r="M140" s="322"/>
      <c r="N140" s="261"/>
      <c r="O140" s="261"/>
      <c r="P140" s="261"/>
      <c r="Q140" s="258" t="s">
        <v>770</v>
      </c>
      <c r="R140" s="261"/>
      <c r="S140" s="261"/>
      <c r="T140" s="261"/>
      <c r="U140" s="261"/>
      <c r="V140" s="261"/>
      <c r="W140" s="261"/>
      <c r="X140" s="261"/>
      <c r="Y140" s="261"/>
      <c r="Z140" s="261"/>
      <c r="AA140" s="259"/>
      <c r="AB140" s="259"/>
      <c r="AC140" s="259"/>
      <c r="AD140" s="259"/>
      <c r="AE140" s="259"/>
      <c r="AF140" s="259"/>
      <c r="AG140" s="259"/>
      <c r="AH140" s="259"/>
      <c r="AI140" s="259"/>
      <c r="AL140" s="396"/>
    </row>
    <row r="141" spans="1:48" s="220" customFormat="1" ht="19.5" hidden="1">
      <c r="A141" s="397"/>
      <c r="B141" s="398" t="s">
        <v>751</v>
      </c>
      <c r="C141" s="399"/>
      <c r="D141" s="400"/>
      <c r="E141" s="400"/>
      <c r="F141" s="400"/>
      <c r="G141" s="400"/>
      <c r="H141" s="400"/>
      <c r="I141" s="400"/>
      <c r="J141" s="401"/>
      <c r="K141" s="401"/>
      <c r="L141" s="402"/>
      <c r="M141" s="402"/>
      <c r="N141" s="401"/>
      <c r="O141" s="401"/>
      <c r="P141" s="401"/>
      <c r="Q141" s="398" t="s">
        <v>751</v>
      </c>
      <c r="R141" s="403"/>
      <c r="S141" s="401"/>
      <c r="T141" s="401"/>
      <c r="U141" s="401"/>
      <c r="V141" s="401"/>
      <c r="W141" s="401"/>
      <c r="X141" s="401"/>
      <c r="Y141" s="401"/>
      <c r="Z141" s="401"/>
      <c r="AA141" s="400"/>
      <c r="AB141" s="400"/>
      <c r="AC141" s="400"/>
      <c r="AD141" s="400"/>
      <c r="AE141" s="400"/>
      <c r="AF141" s="400"/>
      <c r="AG141" s="400"/>
      <c r="AH141" s="400"/>
      <c r="AI141" s="400"/>
      <c r="AJ141" s="400"/>
      <c r="AK141" s="400"/>
      <c r="AL141" s="404"/>
    </row>
    <row r="142" spans="1:48" s="220" customFormat="1" ht="19.5" hidden="1">
      <c r="C142" s="313"/>
      <c r="L142" s="323"/>
      <c r="M142" s="323"/>
      <c r="V142" s="220" t="s">
        <v>457</v>
      </c>
      <c r="X142" s="263"/>
    </row>
    <row r="143" spans="1:48" s="220" customFormat="1" ht="19.5" hidden="1">
      <c r="C143" s="313"/>
      <c r="L143" s="323"/>
      <c r="M143" s="323"/>
      <c r="X143" s="263"/>
    </row>
    <row r="144" spans="1:48" s="220" customFormat="1" ht="19.5" hidden="1">
      <c r="C144" s="313"/>
      <c r="L144" s="323"/>
      <c r="M144" s="323"/>
      <c r="X144" s="263"/>
    </row>
    <row r="145" spans="3:48" s="220" customFormat="1" ht="19.5" hidden="1">
      <c r="C145" s="313"/>
      <c r="L145" s="323"/>
      <c r="M145" s="323"/>
      <c r="X145" s="263"/>
    </row>
    <row r="146" spans="3:48" ht="19.5" hidden="1">
      <c r="C146" s="313"/>
      <c r="D146" s="220"/>
      <c r="E146" s="220"/>
      <c r="F146" s="220"/>
      <c r="G146" s="220"/>
      <c r="H146" s="220"/>
      <c r="I146" s="220"/>
      <c r="J146" s="220"/>
      <c r="K146" s="220"/>
      <c r="L146" s="323"/>
      <c r="M146" s="323"/>
      <c r="N146" s="220"/>
      <c r="O146" s="220"/>
      <c r="P146" s="220"/>
      <c r="Q146" s="220"/>
      <c r="R146" s="220"/>
      <c r="S146" s="220"/>
      <c r="T146" s="220"/>
      <c r="U146" s="220"/>
      <c r="V146" s="220"/>
      <c r="W146" s="220"/>
      <c r="X146" s="263"/>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row>
    <row r="147" spans="3:48" ht="19.5" hidden="1">
      <c r="C147" s="313"/>
      <c r="D147" s="220"/>
      <c r="E147" s="220"/>
      <c r="F147" s="220"/>
      <c r="G147" s="220"/>
      <c r="H147" s="220"/>
      <c r="I147" s="220"/>
      <c r="J147" s="220"/>
      <c r="K147" s="220"/>
      <c r="L147" s="323"/>
      <c r="M147" s="323"/>
      <c r="N147" s="220"/>
      <c r="O147" s="220"/>
      <c r="P147" s="220"/>
      <c r="Q147" s="220"/>
      <c r="R147" s="220"/>
      <c r="S147" s="220"/>
      <c r="T147" s="220"/>
      <c r="U147" s="220"/>
      <c r="V147" s="220"/>
      <c r="W147" s="220"/>
      <c r="X147" s="263"/>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row>
    <row r="148" spans="3:48" ht="19.5" hidden="1">
      <c r="C148" s="313"/>
      <c r="D148" s="220"/>
      <c r="E148" s="220"/>
      <c r="F148" s="220"/>
      <c r="G148" s="220"/>
      <c r="H148" s="220"/>
      <c r="I148" s="220"/>
      <c r="J148" s="220"/>
      <c r="K148" s="220"/>
      <c r="L148" s="323"/>
      <c r="M148" s="323"/>
      <c r="N148" s="220"/>
      <c r="O148" s="220"/>
      <c r="P148" s="220"/>
      <c r="Q148" s="220"/>
      <c r="R148" s="220"/>
      <c r="S148" s="220"/>
      <c r="T148" s="220"/>
      <c r="U148" s="220"/>
      <c r="V148" s="220"/>
      <c r="W148" s="220"/>
      <c r="X148" s="263"/>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row>
    <row r="149" spans="3:48" ht="19.5" hidden="1">
      <c r="C149" s="313"/>
      <c r="D149" s="220"/>
      <c r="E149" s="220"/>
      <c r="F149" s="220"/>
      <c r="G149" s="220"/>
      <c r="H149" s="220"/>
      <c r="I149" s="220"/>
      <c r="J149" s="220"/>
      <c r="K149" s="220"/>
      <c r="L149" s="323"/>
      <c r="M149" s="323"/>
      <c r="N149" s="220"/>
      <c r="O149" s="220"/>
      <c r="P149" s="220"/>
      <c r="Q149" s="220"/>
      <c r="R149" s="220"/>
      <c r="S149" s="220"/>
      <c r="T149" s="220"/>
      <c r="U149" s="220"/>
      <c r="V149" s="220"/>
      <c r="W149" s="220"/>
      <c r="X149" s="263"/>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row>
    <row r="150" spans="3:48" ht="19.5" hidden="1">
      <c r="C150" s="313"/>
      <c r="D150" s="220"/>
      <c r="E150" s="220"/>
      <c r="F150" s="220"/>
      <c r="G150" s="220"/>
      <c r="H150" s="220"/>
      <c r="I150" s="220"/>
      <c r="J150" s="220"/>
      <c r="K150" s="220"/>
      <c r="L150" s="323"/>
      <c r="M150" s="323"/>
      <c r="N150" s="220"/>
      <c r="O150" s="220"/>
      <c r="P150" s="220"/>
      <c r="Q150" s="220"/>
      <c r="R150" s="220"/>
      <c r="S150" s="220"/>
      <c r="T150" s="220"/>
      <c r="U150" s="220"/>
      <c r="V150" s="220"/>
      <c r="W150" s="220"/>
      <c r="X150" s="263"/>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row>
    <row r="151" spans="3:48" ht="19.5" hidden="1">
      <c r="C151" s="313"/>
      <c r="D151" s="220"/>
      <c r="E151" s="220"/>
      <c r="F151" s="220"/>
      <c r="G151" s="220"/>
      <c r="H151" s="220"/>
      <c r="I151" s="220"/>
      <c r="J151" s="220"/>
      <c r="K151" s="220"/>
      <c r="L151" s="323"/>
      <c r="M151" s="323"/>
      <c r="N151" s="220"/>
      <c r="O151" s="220"/>
      <c r="P151" s="220"/>
      <c r="Q151" s="220"/>
      <c r="R151" s="220"/>
      <c r="S151" s="220"/>
      <c r="T151" s="220"/>
      <c r="U151" s="220"/>
      <c r="V151" s="220"/>
      <c r="W151" s="220"/>
      <c r="X151" s="263"/>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row>
    <row r="152" spans="3:48" ht="19.5" hidden="1">
      <c r="C152" s="313"/>
      <c r="D152" s="220"/>
      <c r="E152" s="220"/>
      <c r="F152" s="220"/>
      <c r="G152" s="220"/>
      <c r="H152" s="220"/>
      <c r="I152" s="220"/>
      <c r="J152" s="220"/>
      <c r="K152" s="220"/>
      <c r="L152" s="323"/>
      <c r="M152" s="323"/>
      <c r="N152" s="220"/>
      <c r="O152" s="220"/>
      <c r="P152" s="220"/>
      <c r="Q152" s="220"/>
      <c r="R152" s="220"/>
      <c r="S152" s="220"/>
      <c r="T152" s="220"/>
      <c r="U152" s="220"/>
      <c r="V152" s="220"/>
      <c r="W152" s="220"/>
      <c r="X152" s="263"/>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row>
    <row r="153" spans="3:48" ht="19.5" hidden="1">
      <c r="C153" s="313"/>
      <c r="D153" s="220"/>
      <c r="E153" s="220"/>
      <c r="F153" s="220"/>
      <c r="G153" s="220"/>
      <c r="H153" s="220"/>
      <c r="I153" s="220"/>
      <c r="J153" s="220"/>
      <c r="K153" s="220"/>
      <c r="L153" s="323"/>
      <c r="M153" s="323"/>
      <c r="N153" s="220"/>
      <c r="O153" s="220"/>
      <c r="P153" s="220"/>
      <c r="Q153" s="220"/>
      <c r="R153" s="220"/>
      <c r="S153" s="220"/>
      <c r="T153" s="220"/>
      <c r="U153" s="220"/>
      <c r="V153" s="220"/>
      <c r="W153" s="220"/>
      <c r="X153" s="263"/>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row>
    <row r="154" spans="3:48" ht="19.5" hidden="1">
      <c r="C154" s="313"/>
      <c r="D154" s="220"/>
      <c r="E154" s="220"/>
      <c r="F154" s="220"/>
      <c r="G154" s="220"/>
      <c r="H154" s="220"/>
      <c r="I154" s="220"/>
      <c r="J154" s="220"/>
      <c r="K154" s="220"/>
      <c r="L154" s="323"/>
      <c r="M154" s="323"/>
      <c r="N154" s="220"/>
      <c r="O154" s="220"/>
      <c r="P154" s="220"/>
      <c r="Q154" s="220"/>
      <c r="R154" s="220"/>
      <c r="S154" s="220"/>
      <c r="T154" s="220"/>
      <c r="U154" s="220"/>
      <c r="V154" s="220"/>
      <c r="W154" s="220"/>
      <c r="X154" s="263"/>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row>
    <row r="155" spans="3:48" ht="19.5" hidden="1">
      <c r="C155" s="313"/>
      <c r="D155" s="220"/>
      <c r="E155" s="220"/>
      <c r="F155" s="220"/>
      <c r="G155" s="220"/>
      <c r="H155" s="220"/>
      <c r="I155" s="220"/>
      <c r="J155" s="220"/>
      <c r="K155" s="220"/>
      <c r="L155" s="323"/>
      <c r="M155" s="323"/>
      <c r="N155" s="220"/>
      <c r="O155" s="220"/>
      <c r="P155" s="220"/>
      <c r="Q155" s="220"/>
      <c r="R155" s="220"/>
      <c r="S155" s="220"/>
      <c r="T155" s="220"/>
      <c r="U155" s="220"/>
      <c r="V155" s="220"/>
      <c r="W155" s="220"/>
      <c r="X155" s="263"/>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row>
    <row r="156" spans="3:48" ht="19.5" hidden="1">
      <c r="C156" s="313"/>
      <c r="D156" s="220"/>
      <c r="E156" s="220"/>
      <c r="F156" s="220"/>
      <c r="G156" s="220"/>
      <c r="H156" s="220"/>
      <c r="I156" s="220"/>
      <c r="J156" s="220"/>
      <c r="K156" s="220"/>
      <c r="L156" s="323"/>
      <c r="M156" s="323"/>
      <c r="N156" s="220"/>
      <c r="O156" s="220"/>
      <c r="P156" s="220"/>
      <c r="Q156" s="220"/>
      <c r="R156" s="220"/>
      <c r="S156" s="220"/>
      <c r="T156" s="220"/>
      <c r="U156" s="220"/>
      <c r="V156" s="220"/>
      <c r="W156" s="220"/>
      <c r="X156" s="263"/>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row>
    <row r="157" spans="3:48" ht="19.5" hidden="1">
      <c r="C157" s="313"/>
      <c r="D157" s="220"/>
      <c r="E157" s="220"/>
      <c r="F157" s="220"/>
      <c r="G157" s="220"/>
      <c r="H157" s="220"/>
      <c r="I157" s="220"/>
      <c r="J157" s="220"/>
      <c r="K157" s="220"/>
      <c r="L157" s="323"/>
      <c r="M157" s="323"/>
      <c r="N157" s="220"/>
      <c r="O157" s="220"/>
      <c r="P157" s="220"/>
      <c r="Q157" s="220"/>
      <c r="R157" s="220"/>
      <c r="S157" s="220"/>
      <c r="T157" s="220"/>
      <c r="U157" s="220"/>
      <c r="V157" s="220"/>
      <c r="W157" s="220"/>
      <c r="X157" s="263"/>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row>
    <row r="158" spans="3:48" ht="19.5" hidden="1">
      <c r="C158" s="313"/>
      <c r="D158" s="220"/>
      <c r="E158" s="220"/>
      <c r="F158" s="220"/>
      <c r="G158" s="220"/>
      <c r="H158" s="220"/>
      <c r="I158" s="220"/>
      <c r="J158" s="220"/>
      <c r="K158" s="220"/>
      <c r="L158" s="323"/>
      <c r="M158" s="323"/>
      <c r="N158" s="220"/>
      <c r="O158" s="220"/>
      <c r="P158" s="220"/>
      <c r="Q158" s="220"/>
      <c r="R158" s="220"/>
      <c r="S158" s="220"/>
      <c r="T158" s="220"/>
      <c r="U158" s="220"/>
      <c r="V158" s="220"/>
      <c r="W158" s="220"/>
      <c r="X158" s="263"/>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row>
    <row r="159" spans="3:48" ht="19.5" hidden="1">
      <c r="C159" s="313"/>
      <c r="D159" s="220"/>
      <c r="E159" s="220"/>
      <c r="F159" s="220"/>
      <c r="G159" s="220"/>
      <c r="H159" s="220"/>
      <c r="I159" s="220"/>
      <c r="J159" s="220"/>
      <c r="K159" s="220"/>
      <c r="L159" s="323"/>
      <c r="M159" s="323"/>
      <c r="N159" s="220"/>
      <c r="O159" s="220"/>
      <c r="P159" s="220"/>
      <c r="Q159" s="220"/>
      <c r="R159" s="220"/>
      <c r="S159" s="220"/>
      <c r="T159" s="220"/>
      <c r="U159" s="220"/>
      <c r="V159" s="220"/>
      <c r="W159" s="220"/>
      <c r="X159" s="263"/>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row>
    <row r="160" spans="3:48" ht="19.5" hidden="1">
      <c r="C160" s="313"/>
      <c r="D160" s="220"/>
      <c r="E160" s="220"/>
      <c r="F160" s="220"/>
      <c r="G160" s="220"/>
      <c r="H160" s="220"/>
      <c r="I160" s="220"/>
      <c r="J160" s="220"/>
      <c r="K160" s="220"/>
      <c r="L160" s="323"/>
      <c r="M160" s="323"/>
      <c r="N160" s="220"/>
      <c r="O160" s="220"/>
      <c r="P160" s="220"/>
      <c r="Q160" s="220"/>
      <c r="R160" s="220"/>
      <c r="S160" s="220"/>
      <c r="T160" s="220"/>
      <c r="U160" s="220"/>
      <c r="V160" s="220"/>
      <c r="W160" s="220"/>
      <c r="X160" s="263"/>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row>
    <row r="161" spans="3:48" ht="19.5" hidden="1">
      <c r="C161" s="313"/>
      <c r="D161" s="220"/>
      <c r="E161" s="220"/>
      <c r="F161" s="220"/>
      <c r="G161" s="220"/>
      <c r="H161" s="220"/>
      <c r="I161" s="220"/>
      <c r="J161" s="220"/>
      <c r="K161" s="220"/>
      <c r="L161" s="323"/>
      <c r="M161" s="323"/>
      <c r="N161" s="220"/>
      <c r="O161" s="220"/>
      <c r="P161" s="220"/>
      <c r="Q161" s="220"/>
      <c r="R161" s="220"/>
      <c r="S161" s="220"/>
      <c r="T161" s="220"/>
      <c r="U161" s="220"/>
      <c r="V161" s="220"/>
      <c r="W161" s="220"/>
      <c r="X161" s="263"/>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row>
    <row r="162" spans="3:48" ht="19.5" hidden="1">
      <c r="C162" s="313"/>
      <c r="D162" s="220"/>
      <c r="E162" s="220"/>
      <c r="F162" s="220"/>
      <c r="G162" s="220"/>
      <c r="H162" s="220"/>
      <c r="I162" s="220"/>
      <c r="J162" s="220"/>
      <c r="K162" s="220"/>
      <c r="L162" s="323"/>
      <c r="M162" s="323"/>
      <c r="N162" s="220"/>
      <c r="O162" s="220"/>
      <c r="P162" s="220"/>
      <c r="Q162" s="220"/>
      <c r="R162" s="220"/>
      <c r="S162" s="220"/>
      <c r="T162" s="220"/>
      <c r="U162" s="220"/>
      <c r="V162" s="220"/>
      <c r="W162" s="220"/>
      <c r="X162" s="263"/>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row>
    <row r="163" spans="3:48" ht="19.5" hidden="1">
      <c r="C163" s="313"/>
      <c r="D163" s="220"/>
      <c r="E163" s="220"/>
      <c r="F163" s="220"/>
      <c r="G163" s="220"/>
      <c r="H163" s="220"/>
      <c r="I163" s="220"/>
      <c r="J163" s="220"/>
      <c r="K163" s="220"/>
      <c r="L163" s="323"/>
      <c r="M163" s="323"/>
      <c r="N163" s="220"/>
      <c r="O163" s="220"/>
      <c r="P163" s="220"/>
      <c r="Q163" s="220"/>
      <c r="R163" s="220"/>
      <c r="S163" s="220"/>
      <c r="T163" s="220"/>
      <c r="U163" s="220"/>
      <c r="V163" s="220"/>
      <c r="W163" s="220"/>
      <c r="X163" s="263"/>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row>
    <row r="164" spans="3:48" ht="19.5" hidden="1">
      <c r="C164" s="313"/>
      <c r="D164" s="220"/>
      <c r="E164" s="220"/>
      <c r="F164" s="220"/>
      <c r="G164" s="220"/>
      <c r="H164" s="220"/>
      <c r="I164" s="220"/>
      <c r="J164" s="220"/>
      <c r="K164" s="220"/>
      <c r="L164" s="323"/>
      <c r="M164" s="323"/>
      <c r="N164" s="220"/>
      <c r="O164" s="220"/>
      <c r="P164" s="220"/>
      <c r="Q164" s="220"/>
      <c r="R164" s="220"/>
      <c r="S164" s="220"/>
      <c r="T164" s="220"/>
      <c r="U164" s="220"/>
      <c r="V164" s="220"/>
      <c r="W164" s="220"/>
      <c r="X164" s="263"/>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row>
    <row r="165" spans="3:48" ht="19.5" hidden="1">
      <c r="C165" s="313"/>
      <c r="D165" s="220"/>
      <c r="E165" s="220"/>
      <c r="F165" s="220"/>
      <c r="G165" s="220"/>
      <c r="H165" s="220"/>
      <c r="I165" s="220"/>
      <c r="J165" s="220"/>
      <c r="K165" s="220"/>
      <c r="L165" s="323"/>
      <c r="M165" s="323"/>
      <c r="N165" s="220"/>
      <c r="O165" s="220"/>
      <c r="P165" s="220"/>
      <c r="Q165" s="220"/>
      <c r="R165" s="220"/>
      <c r="S165" s="220"/>
      <c r="T165" s="220"/>
      <c r="U165" s="220"/>
      <c r="V165" s="220"/>
      <c r="W165" s="220"/>
      <c r="X165" s="263"/>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row>
    <row r="166" spans="3:48">
      <c r="K166" s="410">
        <f t="shared" ref="K166:M166" si="23">SUBTOTAL(9,K40:K132)</f>
        <v>2.4822695035460995</v>
      </c>
      <c r="L166" s="410">
        <f t="shared" si="23"/>
        <v>35</v>
      </c>
      <c r="M166" s="410">
        <f t="shared" si="23"/>
        <v>18.5</v>
      </c>
      <c r="N166" s="409"/>
      <c r="O166" s="410">
        <f t="shared" ref="O166:P166" si="24">SUBTOTAL(9,O40:O132)</f>
        <v>2.6241134751773054</v>
      </c>
      <c r="P166" s="410">
        <f t="shared" si="24"/>
        <v>18.5</v>
      </c>
      <c r="Q166" s="410"/>
      <c r="R166" s="410">
        <f>SUBTOTAL(9,R40:R132)</f>
        <v>2.6241134751773054</v>
      </c>
      <c r="S166" s="410">
        <f>R166/O166*100</f>
        <v>100</v>
      </c>
      <c r="T166" s="410">
        <f>SUBTOTAL(9,T40:T132)</f>
        <v>14.57</v>
      </c>
      <c r="U166" s="410">
        <f>T166*100/P166</f>
        <v>78.756756756756758</v>
      </c>
    </row>
  </sheetData>
  <autoFilter ref="AM1:AM165" xr:uid="{00000000-0009-0000-0000-00000A000000}">
    <filterColumn colId="0">
      <filters>
        <filter val="NITP"/>
      </filters>
    </filterColumn>
  </autoFilter>
  <mergeCells count="22">
    <mergeCell ref="AL19:AL20"/>
    <mergeCell ref="K137:L137"/>
    <mergeCell ref="J19:M19"/>
    <mergeCell ref="N19:P19"/>
    <mergeCell ref="Q19:S19"/>
    <mergeCell ref="T19:U19"/>
    <mergeCell ref="V19:X19"/>
    <mergeCell ref="Y19:AA19"/>
    <mergeCell ref="AB19:AD19"/>
    <mergeCell ref="AE19:AG19"/>
    <mergeCell ref="AH19:AI19"/>
    <mergeCell ref="AJ19:AK19"/>
    <mergeCell ref="A1:AL1"/>
    <mergeCell ref="A2:AL2"/>
    <mergeCell ref="A3:AL3"/>
    <mergeCell ref="A4:AL4"/>
    <mergeCell ref="AH6:AI6"/>
    <mergeCell ref="A19:A20"/>
    <mergeCell ref="B19:B20"/>
    <mergeCell ref="C19:C20"/>
    <mergeCell ref="D19:F19"/>
    <mergeCell ref="G19:I19"/>
  </mergeCells>
  <pageMargins left="0.3" right="0.2" top="0.25" bottom="0.45" header="0.2" footer="0.3"/>
  <pageSetup paperSize="9" scale="75"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AV166"/>
  <sheetViews>
    <sheetView view="pageBreakPreview" zoomScale="95" zoomScaleNormal="70" zoomScaleSheetLayoutView="95" workbookViewId="0">
      <selection activeCell="J180" sqref="J180"/>
    </sheetView>
  </sheetViews>
  <sheetFormatPr defaultRowHeight="12.75"/>
  <cols>
    <col min="1" max="1" width="11.28515625" customWidth="1"/>
    <col min="2" max="2" width="33.85546875" customWidth="1"/>
    <col min="3" max="3" width="10.140625" style="314" customWidth="1"/>
    <col min="4" max="9" width="9.7109375" hidden="1" customWidth="1"/>
    <col min="10" max="11" width="9.7109375" customWidth="1"/>
    <col min="12" max="12" width="9.7109375" style="324" customWidth="1"/>
    <col min="13" max="13" width="11.28515625" style="324" customWidth="1"/>
    <col min="14" max="21" width="9.7109375" customWidth="1"/>
    <col min="22" max="23" width="9.7109375" hidden="1" customWidth="1"/>
    <col min="24" max="24" width="9.7109375" style="71" hidden="1" customWidth="1"/>
    <col min="25" max="37" width="9.7109375" hidden="1" customWidth="1"/>
    <col min="38" max="38" width="17.7109375" customWidth="1"/>
  </cols>
  <sheetData>
    <row r="1" spans="1:38"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row>
    <row r="2" spans="1:38" s="220" customFormat="1" ht="32.450000000000003" hidden="1"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row>
    <row r="3" spans="1:38" s="220" customFormat="1" ht="32.450000000000003" hidden="1"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row>
    <row r="4" spans="1:38" s="220" customFormat="1" ht="27.6" hidden="1" customHeight="1">
      <c r="A4" s="613" t="s">
        <v>819</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row>
    <row r="5" spans="1:38" s="220" customFormat="1" ht="28.5" hidden="1">
      <c r="A5" s="265"/>
      <c r="B5" s="265"/>
      <c r="C5" s="265"/>
      <c r="D5" s="265"/>
      <c r="E5" s="265"/>
      <c r="F5" s="265"/>
      <c r="G5" s="265"/>
      <c r="H5" s="265"/>
      <c r="I5" s="265"/>
      <c r="J5" s="265"/>
      <c r="K5" s="265"/>
      <c r="L5" s="318"/>
      <c r="M5" s="318"/>
      <c r="N5" s="265"/>
      <c r="O5" s="263"/>
      <c r="P5" s="263"/>
      <c r="Q5" s="265"/>
      <c r="R5" s="265"/>
      <c r="S5" s="264"/>
      <c r="T5" s="264"/>
      <c r="U5" s="264"/>
      <c r="V5" s="264"/>
      <c r="W5" s="264"/>
      <c r="X5" s="264"/>
      <c r="Y5" s="264"/>
      <c r="Z5" s="264"/>
      <c r="AA5" s="264"/>
      <c r="AB5" s="264"/>
      <c r="AC5" s="264"/>
      <c r="AD5" s="264"/>
      <c r="AE5" s="264"/>
      <c r="AF5" s="264"/>
      <c r="AG5" s="264"/>
      <c r="AH5" s="265"/>
      <c r="AI5" s="265"/>
      <c r="AJ5" s="265"/>
      <c r="AK5" s="265"/>
      <c r="AL5" s="265"/>
    </row>
    <row r="6" spans="1:38" s="220" customFormat="1" ht="24" hidden="1">
      <c r="A6" s="266" t="s">
        <v>771</v>
      </c>
      <c r="B6" s="266"/>
      <c r="C6" s="309"/>
      <c r="D6" s="266"/>
      <c r="E6" s="266"/>
      <c r="F6" s="266"/>
      <c r="G6" s="266"/>
      <c r="H6" s="266"/>
      <c r="I6" s="266"/>
      <c r="J6" s="267"/>
      <c r="K6" s="267"/>
      <c r="L6" s="319"/>
      <c r="M6" s="319"/>
      <c r="N6" s="263"/>
      <c r="O6" s="263"/>
      <c r="P6" s="263"/>
      <c r="Q6" s="263"/>
      <c r="R6" s="263"/>
      <c r="S6" s="263"/>
      <c r="T6" s="263"/>
      <c r="U6" s="263"/>
      <c r="V6" s="266" t="s">
        <v>785</v>
      </c>
      <c r="W6" s="263"/>
      <c r="X6" s="267"/>
      <c r="Y6" s="268">
        <f>'एकिकृत बिवरण'!$J$13/100000-331.31</f>
        <v>600.97694000000001</v>
      </c>
      <c r="Z6" s="269"/>
      <c r="AA6" s="270">
        <v>331.31</v>
      </c>
      <c r="AB6" s="270"/>
      <c r="AC6" s="270"/>
      <c r="AD6" s="270"/>
      <c r="AE6" s="270"/>
      <c r="AF6" s="270"/>
      <c r="AG6" s="270"/>
      <c r="AH6" s="614">
        <f>Y6+AA6</f>
        <v>932.28693999999996</v>
      </c>
      <c r="AI6" s="614"/>
      <c r="AJ6" s="266"/>
      <c r="AK6" s="266"/>
    </row>
    <row r="7" spans="1:38" s="220" customFormat="1" ht="24" hidden="1">
      <c r="A7" s="271" t="s">
        <v>772</v>
      </c>
      <c r="B7" s="266"/>
      <c r="C7" s="309"/>
      <c r="D7" s="266"/>
      <c r="E7" s="266"/>
      <c r="F7" s="266"/>
      <c r="G7" s="266"/>
      <c r="H7" s="266"/>
      <c r="I7" s="266"/>
      <c r="J7" s="267"/>
      <c r="K7" s="267"/>
      <c r="L7" s="319"/>
      <c r="M7" s="319"/>
      <c r="N7" s="263"/>
      <c r="O7" s="263"/>
      <c r="P7" s="263"/>
      <c r="Q7" s="267"/>
      <c r="R7" s="267"/>
      <c r="S7" s="267"/>
      <c r="T7" s="267"/>
      <c r="U7" s="267"/>
      <c r="V7" s="273" t="s">
        <v>779</v>
      </c>
      <c r="W7" s="267"/>
      <c r="X7" s="267"/>
      <c r="Y7" s="267"/>
      <c r="Z7" s="267"/>
      <c r="AA7" s="266"/>
      <c r="AB7" s="266"/>
      <c r="AC7" s="266"/>
      <c r="AD7" s="266"/>
      <c r="AE7" s="266"/>
      <c r="AF7" s="266"/>
      <c r="AG7" s="266"/>
      <c r="AH7" s="266"/>
      <c r="AI7" s="266"/>
      <c r="AJ7" s="266"/>
      <c r="AK7" s="266"/>
    </row>
    <row r="8" spans="1:38" s="220" customFormat="1" ht="24" hidden="1">
      <c r="A8" s="266" t="s">
        <v>773</v>
      </c>
      <c r="B8" s="266"/>
      <c r="C8" s="309"/>
      <c r="D8" s="266"/>
      <c r="E8" s="266"/>
      <c r="F8" s="266"/>
      <c r="G8" s="266"/>
      <c r="H8" s="266"/>
      <c r="I8" s="266"/>
      <c r="J8" s="267"/>
      <c r="K8" s="267"/>
      <c r="L8" s="319"/>
      <c r="M8" s="319"/>
      <c r="N8" s="263"/>
      <c r="O8" s="263"/>
      <c r="P8" s="263"/>
      <c r="Q8" s="263"/>
      <c r="R8" s="263"/>
      <c r="V8" s="267" t="s">
        <v>786</v>
      </c>
      <c r="W8" s="263"/>
      <c r="X8" s="263"/>
      <c r="Y8" s="267"/>
      <c r="Z8" s="267"/>
      <c r="AA8" s="266"/>
      <c r="AB8" s="266"/>
      <c r="AC8" s="266"/>
      <c r="AD8" s="266"/>
      <c r="AE8" s="266"/>
      <c r="AF8" s="266"/>
      <c r="AG8" s="266"/>
      <c r="AH8" s="266"/>
      <c r="AI8" s="266"/>
      <c r="AJ8" s="266"/>
      <c r="AK8" s="266"/>
    </row>
    <row r="9" spans="1:38" s="220" customFormat="1" ht="24" hidden="1">
      <c r="A9" s="266" t="s">
        <v>774</v>
      </c>
      <c r="B9" s="266"/>
      <c r="C9" s="309"/>
      <c r="D9" s="266"/>
      <c r="E9" s="266"/>
      <c r="F9" s="266"/>
      <c r="G9" s="266"/>
      <c r="H9" s="266"/>
      <c r="I9" s="266"/>
      <c r="J9" s="267"/>
      <c r="K9" s="267"/>
      <c r="L9" s="319"/>
      <c r="M9" s="319"/>
      <c r="N9" s="263"/>
      <c r="O9" s="267"/>
      <c r="P9" s="263"/>
      <c r="Q9" s="267"/>
      <c r="R9" s="267"/>
      <c r="S9" s="267"/>
      <c r="T9" s="267"/>
      <c r="U9" s="267"/>
      <c r="V9" s="267"/>
      <c r="W9" s="267"/>
      <c r="X9" s="267"/>
      <c r="Y9" s="267"/>
      <c r="Z9" s="267"/>
      <c r="AA9" s="266"/>
      <c r="AB9" s="266"/>
      <c r="AC9" s="266"/>
      <c r="AD9" s="266"/>
      <c r="AE9" s="266"/>
      <c r="AF9" s="266"/>
      <c r="AG9" s="266"/>
      <c r="AH9" s="266"/>
      <c r="AI9" s="266"/>
      <c r="AJ9" s="266"/>
      <c r="AK9" s="266"/>
    </row>
    <row r="10" spans="1:38" s="220" customFormat="1" ht="24" hidden="1">
      <c r="A10" s="266" t="s">
        <v>775</v>
      </c>
      <c r="B10" s="266"/>
      <c r="C10" s="309"/>
      <c r="D10" s="266"/>
      <c r="E10" s="266"/>
      <c r="F10" s="266"/>
      <c r="G10" s="266"/>
      <c r="H10" s="266"/>
      <c r="I10" s="266"/>
      <c r="J10" s="267"/>
      <c r="K10" s="267"/>
      <c r="L10" s="319"/>
      <c r="M10" s="319"/>
      <c r="N10" s="263"/>
      <c r="O10" s="263"/>
      <c r="P10" s="263"/>
      <c r="Q10" s="263"/>
      <c r="R10" s="263"/>
      <c r="S10" s="267"/>
      <c r="T10" s="267"/>
      <c r="U10" s="267"/>
      <c r="W10" s="267" t="s">
        <v>793</v>
      </c>
      <c r="Y10" s="267"/>
      <c r="Z10" s="267"/>
      <c r="AA10" s="266"/>
      <c r="AB10" s="266"/>
      <c r="AC10" s="266"/>
      <c r="AD10" s="266"/>
      <c r="AE10" s="266"/>
      <c r="AF10" s="266"/>
      <c r="AG10" s="266"/>
      <c r="AH10" s="266"/>
      <c r="AI10" s="266"/>
      <c r="AJ10" s="266"/>
      <c r="AK10" s="266"/>
    </row>
    <row r="11" spans="1:38" s="220" customFormat="1" ht="24" hidden="1">
      <c r="A11" s="266" t="s">
        <v>776</v>
      </c>
      <c r="B11" s="266"/>
      <c r="C11" s="309"/>
      <c r="D11" s="266"/>
      <c r="E11" s="266"/>
      <c r="F11" s="266"/>
      <c r="G11" s="266"/>
      <c r="H11" s="266"/>
      <c r="I11" s="266"/>
      <c r="J11" s="267"/>
      <c r="K11" s="267"/>
      <c r="L11" s="319"/>
      <c r="M11" s="319"/>
      <c r="N11" s="263"/>
      <c r="O11" s="267"/>
      <c r="P11" s="263"/>
      <c r="Q11" s="267"/>
      <c r="R11" s="267"/>
      <c r="S11" s="267"/>
      <c r="T11" s="267"/>
      <c r="U11" s="267"/>
      <c r="V11" s="267"/>
      <c r="W11" s="267"/>
      <c r="X11" s="267"/>
      <c r="Y11" s="267"/>
      <c r="Z11" s="267"/>
      <c r="AA11" s="266"/>
      <c r="AB11" s="266"/>
      <c r="AC11" s="266"/>
      <c r="AD11" s="266"/>
      <c r="AE11" s="266"/>
      <c r="AF11" s="266"/>
      <c r="AG11" s="266"/>
      <c r="AH11" s="266"/>
      <c r="AI11" s="266"/>
      <c r="AJ11" s="266"/>
      <c r="AK11" s="266"/>
    </row>
    <row r="12" spans="1:38" s="220" customFormat="1" ht="24" hidden="1">
      <c r="A12" s="266" t="s">
        <v>777</v>
      </c>
      <c r="B12" s="266"/>
      <c r="C12" s="309"/>
      <c r="D12" s="266"/>
      <c r="E12" s="266"/>
      <c r="F12" s="266"/>
      <c r="G12" s="266"/>
      <c r="H12" s="266"/>
      <c r="I12" s="266"/>
      <c r="J12" s="267"/>
      <c r="K12" s="267"/>
      <c r="L12" s="319"/>
      <c r="M12" s="319"/>
      <c r="N12" s="263"/>
      <c r="O12" s="263"/>
      <c r="P12" s="263"/>
      <c r="Q12" s="263"/>
      <c r="R12" s="263"/>
      <c r="S12" s="267"/>
      <c r="T12" s="267"/>
      <c r="U12" s="267"/>
      <c r="V12" s="267" t="s">
        <v>787</v>
      </c>
      <c r="W12" s="263"/>
      <c r="X12" s="267"/>
      <c r="Y12" s="267"/>
      <c r="Z12" s="267"/>
      <c r="AA12" s="266"/>
      <c r="AB12" s="266"/>
      <c r="AC12" s="266"/>
      <c r="AD12" s="266"/>
      <c r="AE12" s="266"/>
      <c r="AF12" s="266"/>
      <c r="AG12" s="266"/>
      <c r="AH12" s="266"/>
      <c r="AI12" s="266"/>
      <c r="AJ12" s="266"/>
      <c r="AK12" s="266"/>
    </row>
    <row r="13" spans="1:38" s="220" customFormat="1" ht="24" hidden="1">
      <c r="A13" s="266" t="s">
        <v>778</v>
      </c>
      <c r="B13" s="266"/>
      <c r="C13" s="310"/>
      <c r="D13" s="272"/>
      <c r="E13" s="272"/>
      <c r="F13" s="272"/>
      <c r="G13" s="272"/>
      <c r="H13" s="272"/>
      <c r="I13" s="272"/>
      <c r="J13" s="267"/>
      <c r="K13" s="267"/>
      <c r="L13" s="319"/>
      <c r="M13" s="319"/>
      <c r="N13" s="263"/>
      <c r="O13" s="263"/>
      <c r="P13" s="263"/>
      <c r="Q13" s="263"/>
      <c r="R13" s="263"/>
      <c r="S13" s="267"/>
      <c r="T13" s="267"/>
      <c r="U13" s="267"/>
      <c r="V13" s="267" t="s">
        <v>788</v>
      </c>
      <c r="W13" s="263"/>
      <c r="X13" s="267"/>
      <c r="Y13" s="267"/>
      <c r="Z13" s="267"/>
      <c r="AA13" s="266"/>
      <c r="AB13" s="266"/>
      <c r="AC13" s="266"/>
      <c r="AD13" s="266"/>
      <c r="AE13" s="266"/>
      <c r="AF13" s="266"/>
      <c r="AG13" s="266"/>
      <c r="AH13" s="266"/>
      <c r="AI13" s="266"/>
      <c r="AJ13" s="266"/>
      <c r="AK13" s="266"/>
    </row>
    <row r="14" spans="1:38" s="220" customFormat="1" ht="24" hidden="1">
      <c r="A14" s="273" t="s">
        <v>779</v>
      </c>
      <c r="B14" s="266"/>
      <c r="C14" s="310"/>
      <c r="D14" s="272"/>
      <c r="E14" s="272"/>
      <c r="F14" s="272"/>
      <c r="G14" s="272"/>
      <c r="H14" s="272"/>
      <c r="I14" s="272"/>
      <c r="J14" s="267"/>
      <c r="K14" s="267"/>
      <c r="L14" s="319"/>
      <c r="M14" s="319"/>
      <c r="N14" s="263"/>
      <c r="O14" s="263"/>
      <c r="P14" s="263"/>
      <c r="Q14" s="267"/>
      <c r="R14" s="267"/>
      <c r="S14" s="267"/>
      <c r="T14" s="267"/>
      <c r="U14" s="267"/>
      <c r="V14" s="267" t="s">
        <v>789</v>
      </c>
      <c r="W14" s="267"/>
      <c r="X14" s="267"/>
      <c r="Y14" s="267"/>
      <c r="Z14" s="267"/>
      <c r="AA14" s="266"/>
      <c r="AB14" s="266"/>
      <c r="AC14" s="266"/>
      <c r="AD14" s="266"/>
      <c r="AE14" s="266"/>
      <c r="AF14" s="266"/>
      <c r="AG14" s="266"/>
      <c r="AH14" s="266"/>
      <c r="AI14" s="266"/>
      <c r="AJ14" s="266"/>
      <c r="AL14" s="274" t="e">
        <f>Y6/#REF!*100</f>
        <v>#REF!</v>
      </c>
    </row>
    <row r="15" spans="1:38" s="220" customFormat="1" ht="24" hidden="1">
      <c r="A15" s="266" t="s">
        <v>780</v>
      </c>
      <c r="B15" s="266"/>
      <c r="C15" s="309"/>
      <c r="D15" s="266"/>
      <c r="E15" s="266"/>
      <c r="F15" s="266"/>
      <c r="G15" s="266"/>
      <c r="H15" s="266"/>
      <c r="I15" s="266"/>
      <c r="J15" s="267"/>
      <c r="K15" s="267"/>
      <c r="L15" s="319"/>
      <c r="M15" s="319"/>
      <c r="N15" s="263"/>
      <c r="O15" s="263"/>
      <c r="P15" s="263"/>
      <c r="Q15" s="267"/>
      <c r="R15" s="267"/>
      <c r="S15" s="267"/>
      <c r="T15" s="267"/>
      <c r="U15" s="267"/>
      <c r="V15" s="267" t="s">
        <v>790</v>
      </c>
      <c r="W15" s="267"/>
      <c r="X15" s="267"/>
      <c r="Y15" s="267"/>
      <c r="Z15" s="267"/>
      <c r="AA15" s="266"/>
      <c r="AB15" s="266"/>
      <c r="AC15" s="266"/>
      <c r="AD15" s="266"/>
      <c r="AE15" s="266"/>
      <c r="AF15" s="266"/>
      <c r="AG15" s="266"/>
      <c r="AH15" s="266"/>
      <c r="AI15" s="266"/>
      <c r="AJ15" s="266"/>
      <c r="AL15" s="275">
        <f>AH6/L136*100</f>
        <v>66.119641134751788</v>
      </c>
    </row>
    <row r="16" spans="1:38" s="220" customFormat="1" ht="24" hidden="1">
      <c r="A16" s="266" t="s">
        <v>781</v>
      </c>
      <c r="B16" s="266"/>
      <c r="C16" s="309"/>
      <c r="D16" s="266"/>
      <c r="E16" s="266"/>
      <c r="F16" s="266"/>
      <c r="G16" s="266"/>
      <c r="H16" s="266"/>
      <c r="I16" s="266"/>
      <c r="J16" s="267"/>
      <c r="K16" s="267"/>
      <c r="L16" s="319"/>
      <c r="M16" s="319"/>
      <c r="N16" s="263"/>
      <c r="O16" s="263"/>
      <c r="P16" s="263"/>
      <c r="Q16" s="267"/>
      <c r="R16" s="267"/>
      <c r="S16" s="267"/>
      <c r="T16" s="267"/>
      <c r="U16" s="267"/>
      <c r="V16" s="267" t="s">
        <v>791</v>
      </c>
      <c r="W16" s="267"/>
      <c r="X16" s="267"/>
      <c r="Y16" s="267"/>
      <c r="Z16" s="267"/>
      <c r="AA16" s="266"/>
      <c r="AB16" s="266"/>
      <c r="AC16" s="266"/>
      <c r="AD16" s="266"/>
      <c r="AE16" s="266"/>
      <c r="AF16" s="266"/>
      <c r="AG16" s="266"/>
      <c r="AH16" s="266"/>
      <c r="AI16" s="266"/>
      <c r="AJ16" s="266"/>
      <c r="AK16" s="266"/>
      <c r="AL16" s="266"/>
    </row>
    <row r="17" spans="1:48" s="220" customFormat="1" ht="24" hidden="1">
      <c r="A17" s="266" t="s">
        <v>782</v>
      </c>
      <c r="B17" s="266"/>
      <c r="C17" s="309"/>
      <c r="D17" s="266"/>
      <c r="E17" s="266"/>
      <c r="F17" s="266"/>
      <c r="G17" s="266"/>
      <c r="H17" s="266"/>
      <c r="I17" s="266"/>
      <c r="J17" s="267"/>
      <c r="K17" s="267"/>
      <c r="L17" s="319"/>
      <c r="M17" s="319"/>
      <c r="N17" s="263"/>
      <c r="O17" s="263"/>
      <c r="P17" s="263"/>
      <c r="Q17" s="267"/>
      <c r="R17" s="267"/>
      <c r="S17" s="267"/>
      <c r="T17" s="267"/>
      <c r="U17" s="267"/>
      <c r="V17" s="267" t="s">
        <v>792</v>
      </c>
      <c r="W17" s="267"/>
      <c r="X17" s="267"/>
      <c r="Y17" s="267"/>
      <c r="Z17" s="267"/>
      <c r="AA17" s="266"/>
      <c r="AB17" s="266"/>
      <c r="AC17" s="266"/>
      <c r="AD17" s="266"/>
      <c r="AE17" s="266"/>
      <c r="AF17" s="266"/>
      <c r="AG17" s="266"/>
      <c r="AH17" s="266"/>
      <c r="AI17" s="266"/>
      <c r="AJ17" s="266"/>
      <c r="AL17" s="276">
        <f>AI136</f>
        <v>3.410283687943263</v>
      </c>
    </row>
    <row r="18" spans="1:48" s="220" customFormat="1" ht="24" hidden="1">
      <c r="A18" s="266" t="s">
        <v>806</v>
      </c>
      <c r="B18" s="266"/>
      <c r="C18" s="309"/>
      <c r="D18" s="266"/>
      <c r="E18" s="266"/>
      <c r="F18" s="266"/>
      <c r="G18" s="266"/>
      <c r="H18" s="266"/>
      <c r="I18" s="266"/>
      <c r="J18" s="267"/>
      <c r="K18" s="267"/>
      <c r="L18" s="319"/>
      <c r="M18" s="319"/>
      <c r="N18" s="267"/>
      <c r="O18" s="267"/>
      <c r="P18" s="267"/>
      <c r="Q18" s="267"/>
      <c r="R18" s="267"/>
      <c r="S18" s="267"/>
      <c r="T18" s="344" t="s">
        <v>811</v>
      </c>
      <c r="U18" s="345">
        <f>T135</f>
        <v>683.29</v>
      </c>
      <c r="V18" s="267"/>
      <c r="W18" s="267"/>
      <c r="X18" s="267"/>
      <c r="Y18" s="267"/>
      <c r="Z18" s="267"/>
      <c r="AA18" s="266"/>
      <c r="AB18" s="266"/>
      <c r="AC18" s="266"/>
      <c r="AD18" s="266"/>
      <c r="AE18" s="266"/>
      <c r="AF18" s="266"/>
      <c r="AG18" s="266"/>
      <c r="AH18" s="266"/>
      <c r="AI18" s="266"/>
      <c r="AJ18" s="330" t="s">
        <v>802</v>
      </c>
      <c r="AK18" s="266"/>
    </row>
    <row r="19" spans="1:48" s="220" customFormat="1" ht="45.6" hidden="1" customHeight="1">
      <c r="A19" s="621" t="s">
        <v>752</v>
      </c>
      <c r="B19" s="621" t="s">
        <v>753</v>
      </c>
      <c r="C19" s="611" t="s">
        <v>754</v>
      </c>
      <c r="D19" s="611" t="s">
        <v>755</v>
      </c>
      <c r="E19" s="611"/>
      <c r="F19" s="611"/>
      <c r="G19" s="611" t="s">
        <v>759</v>
      </c>
      <c r="H19" s="611"/>
      <c r="I19" s="611"/>
      <c r="J19" s="622" t="s">
        <v>760</v>
      </c>
      <c r="K19" s="623"/>
      <c r="L19" s="623"/>
      <c r="M19" s="624"/>
      <c r="N19" s="611" t="s">
        <v>815</v>
      </c>
      <c r="O19" s="626"/>
      <c r="P19" s="627"/>
      <c r="Q19" s="611" t="s">
        <v>816</v>
      </c>
      <c r="R19" s="611"/>
      <c r="S19" s="611"/>
      <c r="T19" s="611" t="s">
        <v>817</v>
      </c>
      <c r="U19" s="611"/>
      <c r="V19" s="621" t="s">
        <v>764</v>
      </c>
      <c r="W19" s="621"/>
      <c r="X19" s="621"/>
      <c r="Y19" s="611" t="s">
        <v>765</v>
      </c>
      <c r="Z19" s="611"/>
      <c r="AA19" s="611"/>
      <c r="AB19" s="611" t="s">
        <v>767</v>
      </c>
      <c r="AC19" s="611"/>
      <c r="AD19" s="611"/>
      <c r="AE19" s="611" t="s">
        <v>766</v>
      </c>
      <c r="AF19" s="611"/>
      <c r="AG19" s="611"/>
      <c r="AH19" s="618" t="s">
        <v>768</v>
      </c>
      <c r="AI19" s="618"/>
      <c r="AJ19" s="618" t="s">
        <v>769</v>
      </c>
      <c r="AK19" s="618"/>
      <c r="AL19" s="621" t="s">
        <v>497</v>
      </c>
    </row>
    <row r="20" spans="1:48" s="220" customFormat="1" ht="28.5" hidden="1" customHeight="1">
      <c r="A20" s="621"/>
      <c r="B20" s="621"/>
      <c r="C20" s="611"/>
      <c r="D20" s="349" t="s">
        <v>761</v>
      </c>
      <c r="E20" s="349" t="s">
        <v>757</v>
      </c>
      <c r="F20" s="349" t="s">
        <v>758</v>
      </c>
      <c r="G20" s="349" t="s">
        <v>761</v>
      </c>
      <c r="H20" s="349" t="s">
        <v>757</v>
      </c>
      <c r="I20" s="349" t="s">
        <v>758</v>
      </c>
      <c r="J20" s="349" t="s">
        <v>761</v>
      </c>
      <c r="K20" s="349" t="s">
        <v>757</v>
      </c>
      <c r="L20" s="335" t="s">
        <v>758</v>
      </c>
      <c r="M20" s="335" t="s">
        <v>814</v>
      </c>
      <c r="N20" s="349" t="s">
        <v>761</v>
      </c>
      <c r="O20" s="349" t="s">
        <v>757</v>
      </c>
      <c r="P20" s="349" t="s">
        <v>758</v>
      </c>
      <c r="Q20" s="349" t="s">
        <v>761</v>
      </c>
      <c r="R20" s="349" t="s">
        <v>757</v>
      </c>
      <c r="S20" s="349" t="s">
        <v>805</v>
      </c>
      <c r="T20" s="349" t="s">
        <v>804</v>
      </c>
      <c r="U20" s="349" t="s">
        <v>805</v>
      </c>
      <c r="V20" s="349" t="s">
        <v>761</v>
      </c>
      <c r="W20" s="349" t="s">
        <v>757</v>
      </c>
      <c r="X20" s="349" t="s">
        <v>758</v>
      </c>
      <c r="Y20" s="349" t="s">
        <v>761</v>
      </c>
      <c r="Z20" s="349" t="s">
        <v>757</v>
      </c>
      <c r="AA20" s="349" t="s">
        <v>758</v>
      </c>
      <c r="AB20" s="349"/>
      <c r="AC20" s="349"/>
      <c r="AD20" s="349"/>
      <c r="AE20" s="349"/>
      <c r="AF20" s="349"/>
      <c r="AG20" s="349"/>
      <c r="AH20" s="336"/>
      <c r="AI20" s="336"/>
      <c r="AJ20" s="348"/>
      <c r="AK20" s="337"/>
      <c r="AL20" s="621"/>
    </row>
    <row r="21" spans="1:48" s="220" customFormat="1" ht="19.5" hidden="1">
      <c r="A21" s="278">
        <v>1</v>
      </c>
      <c r="B21" s="278">
        <v>2</v>
      </c>
      <c r="C21" s="278">
        <v>3</v>
      </c>
      <c r="D21" s="278">
        <v>4</v>
      </c>
      <c r="E21" s="278">
        <v>5</v>
      </c>
      <c r="F21" s="278">
        <v>6</v>
      </c>
      <c r="G21" s="278">
        <v>7</v>
      </c>
      <c r="H21" s="278">
        <v>8</v>
      </c>
      <c r="I21" s="278">
        <v>9</v>
      </c>
      <c r="J21" s="347">
        <v>4</v>
      </c>
      <c r="K21" s="278">
        <v>5</v>
      </c>
      <c r="L21" s="278">
        <v>6</v>
      </c>
      <c r="M21" s="278"/>
      <c r="N21" s="278">
        <v>7</v>
      </c>
      <c r="O21" s="278">
        <v>8</v>
      </c>
      <c r="P21" s="278">
        <v>9</v>
      </c>
      <c r="Q21" s="278">
        <v>10</v>
      </c>
      <c r="R21" s="278">
        <v>11</v>
      </c>
      <c r="S21" s="347">
        <v>12</v>
      </c>
      <c r="T21" s="278">
        <v>13</v>
      </c>
      <c r="U21" s="278">
        <v>14</v>
      </c>
      <c r="V21" s="278">
        <v>13</v>
      </c>
      <c r="W21" s="278">
        <v>13.5</v>
      </c>
      <c r="X21" s="278">
        <v>14</v>
      </c>
      <c r="Y21" s="278">
        <v>14.5</v>
      </c>
      <c r="Z21" s="278">
        <v>15</v>
      </c>
      <c r="AA21" s="347">
        <v>15.5</v>
      </c>
      <c r="AB21" s="278">
        <v>16</v>
      </c>
      <c r="AC21" s="278">
        <v>16.5</v>
      </c>
      <c r="AD21" s="278">
        <v>17</v>
      </c>
      <c r="AE21" s="278">
        <v>17.5</v>
      </c>
      <c r="AF21" s="278">
        <v>18</v>
      </c>
      <c r="AG21" s="278">
        <v>18.5</v>
      </c>
      <c r="AH21" s="278">
        <v>19</v>
      </c>
      <c r="AI21" s="347">
        <v>19.5</v>
      </c>
      <c r="AJ21" s="278">
        <v>20</v>
      </c>
      <c r="AK21" s="278">
        <v>20.5</v>
      </c>
      <c r="AL21" s="278">
        <v>15</v>
      </c>
    </row>
    <row r="22" spans="1:48" s="350" customFormat="1" ht="13.15" hidden="1" customHeight="1">
      <c r="A22" s="301" t="s">
        <v>511</v>
      </c>
      <c r="B22" s="301" t="s">
        <v>602</v>
      </c>
      <c r="C22" s="282" t="s">
        <v>794</v>
      </c>
      <c r="D22" s="282"/>
      <c r="E22" s="282"/>
      <c r="F22" s="282"/>
      <c r="G22" s="282"/>
      <c r="H22" s="282"/>
      <c r="I22" s="282"/>
      <c r="J22" s="367">
        <v>1</v>
      </c>
      <c r="K22" s="368">
        <f>(L22/$L$135)*100</f>
        <v>3.191489361702128</v>
      </c>
      <c r="L22" s="368">
        <v>45</v>
      </c>
      <c r="M22" s="368">
        <v>0</v>
      </c>
      <c r="N22" s="367">
        <f>J22</f>
        <v>1</v>
      </c>
      <c r="O22" s="368">
        <f>P22/$P$136*100</f>
        <v>0</v>
      </c>
      <c r="P22" s="368">
        <f>M22</f>
        <v>0</v>
      </c>
      <c r="Q22" s="367">
        <v>0.1</v>
      </c>
      <c r="R22" s="368">
        <f t="shared" ref="R22:R85" si="0">IF(N22=0,Q22/J22*K22,Q22/N22*O22)</f>
        <v>0</v>
      </c>
      <c r="S22" s="367">
        <f t="shared" ref="S22:S30" si="1">ROUND(IF(O22=0,R22/K22*100,R22/O22*100),2)</f>
        <v>0</v>
      </c>
      <c r="T22" s="367">
        <v>0</v>
      </c>
      <c r="U22" s="367">
        <f>IFERROR(T22/P22*100,0)</f>
        <v>0</v>
      </c>
      <c r="V22" s="367"/>
      <c r="W22" s="367"/>
      <c r="X22" s="367"/>
      <c r="Y22" s="367"/>
      <c r="Z22" s="367"/>
      <c r="AA22" s="367"/>
      <c r="AB22" s="367"/>
      <c r="AC22" s="367"/>
      <c r="AD22" s="367"/>
      <c r="AE22" s="367"/>
      <c r="AF22" s="367"/>
      <c r="AG22" s="367"/>
      <c r="AH22" s="367"/>
      <c r="AI22" s="367"/>
      <c r="AJ22" s="367"/>
      <c r="AK22" s="367"/>
      <c r="AL22" s="405"/>
      <c r="AM22" s="263"/>
      <c r="AN22" s="263"/>
      <c r="AO22" s="263"/>
      <c r="AP22" s="263"/>
      <c r="AQ22" s="263"/>
      <c r="AR22" s="263"/>
      <c r="AS22" s="263"/>
      <c r="AT22" s="263"/>
      <c r="AU22" s="263"/>
      <c r="AV22" s="263"/>
    </row>
    <row r="23" spans="1:48" s="350" customFormat="1" ht="39" hidden="1">
      <c r="A23" s="304" t="s">
        <v>517</v>
      </c>
      <c r="B23" s="380" t="s">
        <v>603</v>
      </c>
      <c r="C23" s="284" t="s">
        <v>795</v>
      </c>
      <c r="D23" s="284"/>
      <c r="E23" s="284"/>
      <c r="F23" s="284"/>
      <c r="G23" s="284"/>
      <c r="H23" s="284"/>
      <c r="I23" s="284"/>
      <c r="J23" s="366">
        <v>20</v>
      </c>
      <c r="K23" s="370">
        <f>(L23/$L$135)*100</f>
        <v>10.638297872340427</v>
      </c>
      <c r="L23" s="370">
        <v>150</v>
      </c>
      <c r="M23" s="370">
        <v>106.5</v>
      </c>
      <c r="N23" s="366">
        <f t="shared" ref="N23:N86" si="2">J23</f>
        <v>20</v>
      </c>
      <c r="O23" s="370">
        <f t="shared" ref="O23:O86" si="3">P23/$P$136*100</f>
        <v>15.106382978723406</v>
      </c>
      <c r="P23" s="370">
        <f t="shared" ref="P23:P86" si="4">M23</f>
        <v>106.5</v>
      </c>
      <c r="Q23" s="366">
        <v>20</v>
      </c>
      <c r="R23" s="370">
        <f t="shared" si="0"/>
        <v>15.106382978723406</v>
      </c>
      <c r="S23" s="366">
        <f t="shared" si="1"/>
        <v>100</v>
      </c>
      <c r="T23" s="366">
        <v>105.39</v>
      </c>
      <c r="U23" s="370">
        <f t="shared" ref="U23:U86" si="5">IFERROR(T23/P23*100,0)</f>
        <v>98.957746478873247</v>
      </c>
      <c r="V23" s="366"/>
      <c r="W23" s="366"/>
      <c r="X23" s="366"/>
      <c r="Y23" s="366"/>
      <c r="Z23" s="366"/>
      <c r="AA23" s="366"/>
      <c r="AB23" s="366"/>
      <c r="AC23" s="366"/>
      <c r="AD23" s="366"/>
      <c r="AE23" s="366"/>
      <c r="AF23" s="366"/>
      <c r="AG23" s="366"/>
      <c r="AH23" s="366"/>
      <c r="AI23" s="366"/>
      <c r="AJ23" s="366"/>
      <c r="AK23" s="366"/>
      <c r="AL23" s="360"/>
      <c r="AM23" s="263" t="s">
        <v>821</v>
      </c>
      <c r="AN23" s="263"/>
      <c r="AO23" s="263"/>
      <c r="AP23" s="263"/>
      <c r="AQ23" s="263"/>
      <c r="AR23" s="263"/>
      <c r="AS23" s="263"/>
      <c r="AT23" s="263"/>
      <c r="AU23" s="263"/>
      <c r="AV23" s="263"/>
    </row>
    <row r="24" spans="1:48" s="350" customFormat="1" ht="39" hidden="1">
      <c r="A24" s="304" t="s">
        <v>232</v>
      </c>
      <c r="B24" s="304" t="s">
        <v>604</v>
      </c>
      <c r="C24" s="284" t="s">
        <v>794</v>
      </c>
      <c r="D24" s="284"/>
      <c r="E24" s="284"/>
      <c r="F24" s="284"/>
      <c r="G24" s="284"/>
      <c r="H24" s="284"/>
      <c r="I24" s="284"/>
      <c r="J24" s="366">
        <v>3.4</v>
      </c>
      <c r="K24" s="370">
        <f t="shared" ref="K24:K87" si="6">(L24/$L$135)*100</f>
        <v>7.0921985815602842</v>
      </c>
      <c r="L24" s="370">
        <v>100</v>
      </c>
      <c r="M24" s="370">
        <v>80</v>
      </c>
      <c r="N24" s="366">
        <f t="shared" si="2"/>
        <v>3.4</v>
      </c>
      <c r="O24" s="370">
        <f t="shared" si="3"/>
        <v>11.347517730496456</v>
      </c>
      <c r="P24" s="370">
        <f t="shared" si="4"/>
        <v>80</v>
      </c>
      <c r="Q24" s="366">
        <f t="shared" ref="Q24:Q87" si="7">J24</f>
        <v>3.4</v>
      </c>
      <c r="R24" s="370">
        <f t="shared" si="0"/>
        <v>11.347517730496456</v>
      </c>
      <c r="S24" s="366">
        <f t="shared" si="1"/>
        <v>100</v>
      </c>
      <c r="T24" s="366">
        <v>79.58</v>
      </c>
      <c r="U24" s="370">
        <f t="shared" si="5"/>
        <v>99.475000000000009</v>
      </c>
      <c r="V24" s="366"/>
      <c r="W24" s="366"/>
      <c r="X24" s="366"/>
      <c r="Y24" s="366"/>
      <c r="Z24" s="366"/>
      <c r="AA24" s="366"/>
      <c r="AB24" s="366"/>
      <c r="AC24" s="366"/>
      <c r="AD24" s="366"/>
      <c r="AE24" s="366"/>
      <c r="AF24" s="366"/>
      <c r="AG24" s="366"/>
      <c r="AH24" s="366"/>
      <c r="AI24" s="366"/>
      <c r="AJ24" s="366"/>
      <c r="AK24" s="366"/>
      <c r="AL24" s="360"/>
      <c r="AM24" s="263" t="s">
        <v>822</v>
      </c>
      <c r="AN24" s="263"/>
      <c r="AO24" s="263"/>
      <c r="AP24" s="263"/>
      <c r="AQ24" s="263"/>
      <c r="AR24" s="263"/>
      <c r="AS24" s="263"/>
      <c r="AT24" s="263"/>
      <c r="AU24" s="263"/>
      <c r="AV24" s="263"/>
    </row>
    <row r="25" spans="1:48" s="350" customFormat="1" ht="39" hidden="1">
      <c r="A25" s="304" t="s">
        <v>234</v>
      </c>
      <c r="B25" s="304" t="s">
        <v>605</v>
      </c>
      <c r="C25" s="284" t="s">
        <v>794</v>
      </c>
      <c r="D25" s="284"/>
      <c r="E25" s="284"/>
      <c r="F25" s="284"/>
      <c r="G25" s="284"/>
      <c r="H25" s="284"/>
      <c r="I25" s="284"/>
      <c r="J25" s="366">
        <v>2.96</v>
      </c>
      <c r="K25" s="370">
        <f t="shared" si="6"/>
        <v>4.255319148936171</v>
      </c>
      <c r="L25" s="370">
        <v>60</v>
      </c>
      <c r="M25" s="370">
        <v>40</v>
      </c>
      <c r="N25" s="366">
        <f t="shared" si="2"/>
        <v>2.96</v>
      </c>
      <c r="O25" s="370">
        <f t="shared" si="3"/>
        <v>5.673758865248228</v>
      </c>
      <c r="P25" s="370">
        <f t="shared" si="4"/>
        <v>40</v>
      </c>
      <c r="Q25" s="366">
        <f t="shared" si="7"/>
        <v>2.96</v>
      </c>
      <c r="R25" s="370">
        <f t="shared" si="0"/>
        <v>5.673758865248228</v>
      </c>
      <c r="S25" s="366">
        <f t="shared" si="1"/>
        <v>100</v>
      </c>
      <c r="T25" s="366">
        <v>39.479999999999997</v>
      </c>
      <c r="U25" s="370">
        <f t="shared" si="5"/>
        <v>98.699999999999989</v>
      </c>
      <c r="V25" s="366"/>
      <c r="W25" s="366"/>
      <c r="X25" s="366"/>
      <c r="Y25" s="366"/>
      <c r="Z25" s="366"/>
      <c r="AA25" s="366"/>
      <c r="AB25" s="366"/>
      <c r="AC25" s="366"/>
      <c r="AD25" s="366"/>
      <c r="AE25" s="366"/>
      <c r="AF25" s="366"/>
      <c r="AG25" s="366"/>
      <c r="AH25" s="366"/>
      <c r="AI25" s="366"/>
      <c r="AJ25" s="366"/>
      <c r="AK25" s="366"/>
      <c r="AL25" s="360"/>
      <c r="AM25" s="263" t="s">
        <v>822</v>
      </c>
      <c r="AN25" s="263"/>
      <c r="AO25" s="263"/>
      <c r="AP25" s="263"/>
      <c r="AQ25" s="263"/>
      <c r="AR25" s="263"/>
      <c r="AS25" s="263"/>
      <c r="AT25" s="263"/>
      <c r="AU25" s="263"/>
      <c r="AV25" s="263"/>
    </row>
    <row r="26" spans="1:48" s="350" customFormat="1" ht="58.5" hidden="1">
      <c r="A26" s="304" t="s">
        <v>240</v>
      </c>
      <c r="B26" s="304" t="s">
        <v>606</v>
      </c>
      <c r="C26" s="284" t="s">
        <v>794</v>
      </c>
      <c r="D26" s="284"/>
      <c r="E26" s="284"/>
      <c r="F26" s="284"/>
      <c r="G26" s="284"/>
      <c r="H26" s="284"/>
      <c r="I26" s="284"/>
      <c r="J26" s="366">
        <v>1</v>
      </c>
      <c r="K26" s="370">
        <f t="shared" si="6"/>
        <v>0.35460992907801425</v>
      </c>
      <c r="L26" s="370">
        <v>5</v>
      </c>
      <c r="M26" s="370">
        <v>5</v>
      </c>
      <c r="N26" s="366">
        <f t="shared" si="2"/>
        <v>1</v>
      </c>
      <c r="O26" s="370">
        <f t="shared" si="3"/>
        <v>0.7092198581560285</v>
      </c>
      <c r="P26" s="370">
        <f t="shared" si="4"/>
        <v>5</v>
      </c>
      <c r="Q26" s="366">
        <f t="shared" si="7"/>
        <v>1</v>
      </c>
      <c r="R26" s="370">
        <f t="shared" si="0"/>
        <v>0.7092198581560285</v>
      </c>
      <c r="S26" s="366">
        <f t="shared" si="1"/>
        <v>100</v>
      </c>
      <c r="T26" s="366">
        <v>4.99</v>
      </c>
      <c r="U26" s="370">
        <f>IFERROR(T26/L26*100,0)</f>
        <v>99.8</v>
      </c>
      <c r="V26" s="366"/>
      <c r="W26" s="366"/>
      <c r="X26" s="366"/>
      <c r="Y26" s="366"/>
      <c r="Z26" s="366"/>
      <c r="AA26" s="366"/>
      <c r="AB26" s="366"/>
      <c r="AC26" s="366"/>
      <c r="AD26" s="366"/>
      <c r="AE26" s="366"/>
      <c r="AF26" s="366"/>
      <c r="AG26" s="366"/>
      <c r="AH26" s="366"/>
      <c r="AI26" s="366"/>
      <c r="AJ26" s="366"/>
      <c r="AK26" s="366"/>
      <c r="AL26" s="360"/>
      <c r="AM26" s="263" t="s">
        <v>822</v>
      </c>
      <c r="AN26" s="263"/>
      <c r="AO26" s="263"/>
      <c r="AP26" s="263"/>
      <c r="AQ26" s="263"/>
      <c r="AR26" s="263"/>
      <c r="AS26" s="263"/>
      <c r="AT26" s="263"/>
      <c r="AU26" s="263"/>
      <c r="AV26" s="263"/>
    </row>
    <row r="27" spans="1:48" s="350" customFormat="1" ht="58.5" hidden="1">
      <c r="A27" s="304" t="s">
        <v>242</v>
      </c>
      <c r="B27" s="304" t="s">
        <v>607</v>
      </c>
      <c r="C27" s="284" t="s">
        <v>794</v>
      </c>
      <c r="D27" s="284"/>
      <c r="E27" s="284"/>
      <c r="F27" s="284"/>
      <c r="G27" s="284"/>
      <c r="H27" s="284"/>
      <c r="I27" s="284"/>
      <c r="J27" s="366">
        <v>1</v>
      </c>
      <c r="K27" s="370">
        <f t="shared" si="6"/>
        <v>0.7092198581560285</v>
      </c>
      <c r="L27" s="370">
        <v>10</v>
      </c>
      <c r="M27" s="370">
        <v>5</v>
      </c>
      <c r="N27" s="366">
        <f t="shared" si="2"/>
        <v>1</v>
      </c>
      <c r="O27" s="370">
        <f t="shared" si="3"/>
        <v>0.7092198581560285</v>
      </c>
      <c r="P27" s="370">
        <f t="shared" si="4"/>
        <v>5</v>
      </c>
      <c r="Q27" s="366">
        <f t="shared" si="7"/>
        <v>1</v>
      </c>
      <c r="R27" s="370">
        <f t="shared" si="0"/>
        <v>0.7092198581560285</v>
      </c>
      <c r="S27" s="366">
        <f t="shared" si="1"/>
        <v>100</v>
      </c>
      <c r="T27" s="366">
        <v>4.99</v>
      </c>
      <c r="U27" s="370">
        <f t="shared" si="5"/>
        <v>99.8</v>
      </c>
      <c r="V27" s="366"/>
      <c r="W27" s="366"/>
      <c r="X27" s="366"/>
      <c r="Y27" s="366"/>
      <c r="Z27" s="366"/>
      <c r="AA27" s="366"/>
      <c r="AB27" s="366"/>
      <c r="AC27" s="366"/>
      <c r="AD27" s="366"/>
      <c r="AE27" s="366"/>
      <c r="AF27" s="366"/>
      <c r="AG27" s="366"/>
      <c r="AH27" s="366"/>
      <c r="AI27" s="366"/>
      <c r="AJ27" s="366"/>
      <c r="AK27" s="366"/>
      <c r="AL27" s="360"/>
      <c r="AM27" s="263" t="s">
        <v>822</v>
      </c>
      <c r="AN27" s="263"/>
      <c r="AO27" s="263"/>
      <c r="AP27" s="263"/>
      <c r="AQ27" s="263"/>
      <c r="AR27" s="263"/>
      <c r="AS27" s="263"/>
      <c r="AT27" s="263"/>
      <c r="AU27" s="263"/>
      <c r="AV27" s="263"/>
    </row>
    <row r="28" spans="1:48" s="350" customFormat="1" ht="58.5" hidden="1">
      <c r="A28" s="304" t="s">
        <v>244</v>
      </c>
      <c r="B28" s="304" t="s">
        <v>608</v>
      </c>
      <c r="C28" s="284" t="s">
        <v>794</v>
      </c>
      <c r="D28" s="284"/>
      <c r="E28" s="284"/>
      <c r="F28" s="284"/>
      <c r="G28" s="284"/>
      <c r="H28" s="284"/>
      <c r="I28" s="284"/>
      <c r="J28" s="366">
        <v>1</v>
      </c>
      <c r="K28" s="370">
        <f t="shared" si="6"/>
        <v>0.7092198581560285</v>
      </c>
      <c r="L28" s="370">
        <v>10</v>
      </c>
      <c r="M28" s="370">
        <v>5</v>
      </c>
      <c r="N28" s="366">
        <f t="shared" si="2"/>
        <v>1</v>
      </c>
      <c r="O28" s="370">
        <f t="shared" si="3"/>
        <v>0.7092198581560285</v>
      </c>
      <c r="P28" s="370">
        <f t="shared" si="4"/>
        <v>5</v>
      </c>
      <c r="Q28" s="366">
        <f t="shared" si="7"/>
        <v>1</v>
      </c>
      <c r="R28" s="370">
        <f t="shared" si="0"/>
        <v>0.7092198581560285</v>
      </c>
      <c r="S28" s="366">
        <f t="shared" si="1"/>
        <v>100</v>
      </c>
      <c r="T28" s="366">
        <v>4.99</v>
      </c>
      <c r="U28" s="370">
        <f t="shared" si="5"/>
        <v>99.8</v>
      </c>
      <c r="V28" s="366"/>
      <c r="W28" s="366"/>
      <c r="X28" s="366"/>
      <c r="Y28" s="366"/>
      <c r="Z28" s="366"/>
      <c r="AA28" s="366"/>
      <c r="AB28" s="366"/>
      <c r="AC28" s="366"/>
      <c r="AD28" s="366"/>
      <c r="AE28" s="366"/>
      <c r="AF28" s="366"/>
      <c r="AG28" s="366"/>
      <c r="AH28" s="366"/>
      <c r="AI28" s="366"/>
      <c r="AJ28" s="366"/>
      <c r="AK28" s="366"/>
      <c r="AL28" s="360"/>
      <c r="AM28" s="263" t="s">
        <v>822</v>
      </c>
      <c r="AN28" s="263"/>
      <c r="AO28" s="263"/>
      <c r="AP28" s="263"/>
      <c r="AQ28" s="263"/>
      <c r="AR28" s="263"/>
      <c r="AS28" s="263"/>
      <c r="AT28" s="263"/>
      <c r="AU28" s="263"/>
      <c r="AV28" s="263"/>
    </row>
    <row r="29" spans="1:48" s="350" customFormat="1" ht="58.5" hidden="1">
      <c r="A29" s="304" t="s">
        <v>246</v>
      </c>
      <c r="B29" s="304" t="s">
        <v>609</v>
      </c>
      <c r="C29" s="284" t="s">
        <v>794</v>
      </c>
      <c r="D29" s="284"/>
      <c r="E29" s="284"/>
      <c r="F29" s="284"/>
      <c r="G29" s="284"/>
      <c r="H29" s="284"/>
      <c r="I29" s="284"/>
      <c r="J29" s="366">
        <v>1</v>
      </c>
      <c r="K29" s="370">
        <f t="shared" si="6"/>
        <v>0.7092198581560285</v>
      </c>
      <c r="L29" s="370">
        <v>10</v>
      </c>
      <c r="M29" s="370">
        <v>5</v>
      </c>
      <c r="N29" s="366">
        <f t="shared" si="2"/>
        <v>1</v>
      </c>
      <c r="O29" s="370">
        <f t="shared" si="3"/>
        <v>0.7092198581560285</v>
      </c>
      <c r="P29" s="370">
        <f t="shared" si="4"/>
        <v>5</v>
      </c>
      <c r="Q29" s="366">
        <f t="shared" si="7"/>
        <v>1</v>
      </c>
      <c r="R29" s="370">
        <f t="shared" si="0"/>
        <v>0.7092198581560285</v>
      </c>
      <c r="S29" s="366">
        <f t="shared" si="1"/>
        <v>100</v>
      </c>
      <c r="T29" s="366">
        <v>4.97</v>
      </c>
      <c r="U29" s="370">
        <f t="shared" si="5"/>
        <v>99.4</v>
      </c>
      <c r="V29" s="366"/>
      <c r="W29" s="366"/>
      <c r="X29" s="366"/>
      <c r="Y29" s="366"/>
      <c r="Z29" s="366"/>
      <c r="AA29" s="366"/>
      <c r="AB29" s="366"/>
      <c r="AC29" s="366"/>
      <c r="AD29" s="366"/>
      <c r="AE29" s="366"/>
      <c r="AF29" s="366"/>
      <c r="AG29" s="366"/>
      <c r="AH29" s="366"/>
      <c r="AI29" s="366"/>
      <c r="AJ29" s="366"/>
      <c r="AK29" s="366"/>
      <c r="AL29" s="360"/>
      <c r="AM29" s="263" t="s">
        <v>822</v>
      </c>
      <c r="AN29" s="263"/>
      <c r="AO29" s="263"/>
      <c r="AP29" s="263"/>
      <c r="AQ29" s="263"/>
      <c r="AR29" s="263"/>
      <c r="AS29" s="263"/>
      <c r="AT29" s="263"/>
      <c r="AU29" s="263"/>
      <c r="AV29" s="263"/>
    </row>
    <row r="30" spans="1:48" s="350" customFormat="1" ht="39" hidden="1">
      <c r="A30" s="304" t="s">
        <v>248</v>
      </c>
      <c r="B30" s="304" t="s">
        <v>610</v>
      </c>
      <c r="C30" s="284" t="s">
        <v>794</v>
      </c>
      <c r="D30" s="284"/>
      <c r="E30" s="284"/>
      <c r="F30" s="284"/>
      <c r="G30" s="284"/>
      <c r="H30" s="284"/>
      <c r="I30" s="284"/>
      <c r="J30" s="366">
        <v>1</v>
      </c>
      <c r="K30" s="370">
        <f t="shared" si="6"/>
        <v>1.418439716312057</v>
      </c>
      <c r="L30" s="370">
        <v>20</v>
      </c>
      <c r="M30" s="370">
        <v>20</v>
      </c>
      <c r="N30" s="366">
        <f t="shared" si="2"/>
        <v>1</v>
      </c>
      <c r="O30" s="370">
        <f t="shared" si="3"/>
        <v>2.836879432624114</v>
      </c>
      <c r="P30" s="370">
        <f t="shared" si="4"/>
        <v>20</v>
      </c>
      <c r="Q30" s="366">
        <f t="shared" si="7"/>
        <v>1</v>
      </c>
      <c r="R30" s="370">
        <f t="shared" si="0"/>
        <v>2.836879432624114</v>
      </c>
      <c r="S30" s="366">
        <f t="shared" si="1"/>
        <v>100</v>
      </c>
      <c r="T30" s="366">
        <v>19.97</v>
      </c>
      <c r="U30" s="370">
        <f>IFERROR(T30/L30*100,0)</f>
        <v>99.85</v>
      </c>
      <c r="V30" s="366"/>
      <c r="W30" s="366"/>
      <c r="X30" s="366"/>
      <c r="Y30" s="366"/>
      <c r="Z30" s="366"/>
      <c r="AA30" s="366"/>
      <c r="AB30" s="366"/>
      <c r="AC30" s="366"/>
      <c r="AD30" s="366"/>
      <c r="AE30" s="366"/>
      <c r="AF30" s="366"/>
      <c r="AG30" s="366"/>
      <c r="AH30" s="366"/>
      <c r="AI30" s="366"/>
      <c r="AJ30" s="366"/>
      <c r="AK30" s="366"/>
      <c r="AL30" s="360"/>
      <c r="AM30" s="263" t="s">
        <v>822</v>
      </c>
      <c r="AN30" s="263"/>
      <c r="AO30" s="263"/>
      <c r="AP30" s="263"/>
      <c r="AQ30" s="263"/>
      <c r="AR30" s="263"/>
      <c r="AS30" s="263"/>
      <c r="AT30" s="263"/>
      <c r="AU30" s="263"/>
      <c r="AV30" s="263"/>
    </row>
    <row r="31" spans="1:48" s="306" customFormat="1" ht="39" hidden="1">
      <c r="A31" s="304" t="s">
        <v>250</v>
      </c>
      <c r="B31" s="304" t="s">
        <v>611</v>
      </c>
      <c r="C31" s="284" t="s">
        <v>794</v>
      </c>
      <c r="D31" s="284"/>
      <c r="E31" s="284"/>
      <c r="F31" s="284"/>
      <c r="G31" s="284"/>
      <c r="H31" s="284"/>
      <c r="I31" s="284"/>
      <c r="J31" s="366">
        <v>0</v>
      </c>
      <c r="K31" s="370">
        <f t="shared" si="6"/>
        <v>0</v>
      </c>
      <c r="L31" s="371">
        <v>0</v>
      </c>
      <c r="M31" s="371">
        <v>0</v>
      </c>
      <c r="N31" s="366">
        <f t="shared" si="2"/>
        <v>0</v>
      </c>
      <c r="O31" s="370">
        <f t="shared" si="3"/>
        <v>0</v>
      </c>
      <c r="P31" s="370">
        <f t="shared" si="4"/>
        <v>0</v>
      </c>
      <c r="Q31" s="366">
        <f t="shared" si="7"/>
        <v>0</v>
      </c>
      <c r="R31" s="370">
        <v>0</v>
      </c>
      <c r="S31" s="366">
        <v>0</v>
      </c>
      <c r="T31" s="366">
        <v>0</v>
      </c>
      <c r="U31" s="370">
        <f t="shared" si="5"/>
        <v>0</v>
      </c>
      <c r="V31" s="370">
        <v>5</v>
      </c>
      <c r="W31" s="372">
        <v>0.12</v>
      </c>
      <c r="X31" s="370">
        <v>1.5</v>
      </c>
      <c r="Y31" s="370">
        <v>5</v>
      </c>
      <c r="Z31" s="370"/>
      <c r="AA31" s="370">
        <f>W31/V31*Y31</f>
        <v>0.12</v>
      </c>
      <c r="AB31" s="370"/>
      <c r="AC31" s="370"/>
      <c r="AD31" s="370"/>
      <c r="AE31" s="370"/>
      <c r="AF31" s="370"/>
      <c r="AG31" s="370"/>
      <c r="AH31" s="370">
        <v>15</v>
      </c>
      <c r="AI31" s="370">
        <v>0.37</v>
      </c>
      <c r="AJ31" s="366"/>
      <c r="AK31" s="366"/>
      <c r="AL31" s="360"/>
      <c r="AM31" s="263" t="s">
        <v>822</v>
      </c>
      <c r="AN31" s="305"/>
      <c r="AO31" s="305"/>
      <c r="AP31" s="305"/>
      <c r="AQ31" s="305"/>
      <c r="AR31" s="305"/>
      <c r="AS31" s="305"/>
      <c r="AT31" s="305"/>
      <c r="AU31" s="305"/>
      <c r="AV31" s="305"/>
    </row>
    <row r="32" spans="1:48" s="306" customFormat="1" ht="40.5" hidden="1">
      <c r="A32" s="308" t="s">
        <v>216</v>
      </c>
      <c r="B32" s="363" t="s">
        <v>612</v>
      </c>
      <c r="C32" s="284" t="s">
        <v>794</v>
      </c>
      <c r="D32" s="284"/>
      <c r="E32" s="284"/>
      <c r="F32" s="284"/>
      <c r="G32" s="284"/>
      <c r="H32" s="284"/>
      <c r="I32" s="284"/>
      <c r="J32" s="366">
        <v>2</v>
      </c>
      <c r="K32" s="370">
        <f t="shared" si="6"/>
        <v>0.14184397163120571</v>
      </c>
      <c r="L32" s="371">
        <v>2</v>
      </c>
      <c r="M32" s="371">
        <v>1.7</v>
      </c>
      <c r="N32" s="366">
        <f t="shared" si="2"/>
        <v>2</v>
      </c>
      <c r="O32" s="370">
        <f t="shared" si="3"/>
        <v>0.24113475177304969</v>
      </c>
      <c r="P32" s="370">
        <f t="shared" si="4"/>
        <v>1.7</v>
      </c>
      <c r="Q32" s="366">
        <f t="shared" si="7"/>
        <v>2</v>
      </c>
      <c r="R32" s="370">
        <f t="shared" si="0"/>
        <v>0.24113475177304969</v>
      </c>
      <c r="S32" s="366">
        <f t="shared" ref="S32:S95" si="8">ROUND(IF(O32=0,R32/K32*100,R32/O32*100),2)</f>
        <v>100</v>
      </c>
      <c r="T32" s="366">
        <v>1.21</v>
      </c>
      <c r="U32" s="370">
        <f t="shared" si="5"/>
        <v>71.17647058823529</v>
      </c>
      <c r="V32" s="366">
        <v>0</v>
      </c>
      <c r="W32" s="372">
        <v>0</v>
      </c>
      <c r="X32" s="366">
        <v>0</v>
      </c>
      <c r="Y32" s="366">
        <v>6</v>
      </c>
      <c r="Z32" s="366"/>
      <c r="AA32" s="370">
        <f>K32/J32*Y32</f>
        <v>0.42553191489361714</v>
      </c>
      <c r="AB32" s="370"/>
      <c r="AC32" s="370"/>
      <c r="AD32" s="370"/>
      <c r="AE32" s="370"/>
      <c r="AF32" s="370"/>
      <c r="AG32" s="370"/>
      <c r="AH32" s="370">
        <f t="shared" ref="AH32:AH33" si="9">Y32+Q32</f>
        <v>8</v>
      </c>
      <c r="AI32" s="370">
        <v>1.48</v>
      </c>
      <c r="AJ32" s="366"/>
      <c r="AK32" s="366"/>
      <c r="AL32" s="360"/>
      <c r="AM32" s="305" t="s">
        <v>823</v>
      </c>
      <c r="AN32" s="305"/>
      <c r="AO32" s="305"/>
      <c r="AP32" s="305"/>
      <c r="AQ32" s="305"/>
      <c r="AR32" s="305"/>
      <c r="AS32" s="305"/>
      <c r="AT32" s="305"/>
      <c r="AU32" s="305"/>
      <c r="AV32" s="305"/>
    </row>
    <row r="33" spans="1:48" s="306" customFormat="1" ht="40.5" hidden="1">
      <c r="A33" s="308" t="s">
        <v>399</v>
      </c>
      <c r="B33" s="363" t="s">
        <v>613</v>
      </c>
      <c r="C33" s="284" t="s">
        <v>794</v>
      </c>
      <c r="D33" s="284"/>
      <c r="E33" s="284"/>
      <c r="F33" s="284"/>
      <c r="G33" s="284"/>
      <c r="H33" s="284"/>
      <c r="I33" s="284"/>
      <c r="J33" s="366">
        <v>1</v>
      </c>
      <c r="K33" s="370">
        <f t="shared" si="6"/>
        <v>0.35460992907801425</v>
      </c>
      <c r="L33" s="371">
        <v>5</v>
      </c>
      <c r="M33" s="371">
        <v>0</v>
      </c>
      <c r="N33" s="366">
        <f t="shared" si="2"/>
        <v>1</v>
      </c>
      <c r="O33" s="370">
        <f t="shared" si="3"/>
        <v>0</v>
      </c>
      <c r="P33" s="370">
        <f t="shared" si="4"/>
        <v>0</v>
      </c>
      <c r="Q33" s="366">
        <f t="shared" si="7"/>
        <v>1</v>
      </c>
      <c r="R33" s="370">
        <f t="shared" si="0"/>
        <v>0</v>
      </c>
      <c r="S33" s="366">
        <f t="shared" si="8"/>
        <v>0</v>
      </c>
      <c r="T33" s="366">
        <v>0</v>
      </c>
      <c r="U33" s="370">
        <f t="shared" si="5"/>
        <v>0</v>
      </c>
      <c r="V33" s="366">
        <v>1</v>
      </c>
      <c r="W33" s="372">
        <v>0.02</v>
      </c>
      <c r="X33" s="366">
        <v>0.2</v>
      </c>
      <c r="Y33" s="366">
        <v>0</v>
      </c>
      <c r="Z33" s="366"/>
      <c r="AA33" s="370">
        <f t="shared" ref="AA33:AA46" si="10">W33/V33*Y33</f>
        <v>0</v>
      </c>
      <c r="AB33" s="370"/>
      <c r="AC33" s="370"/>
      <c r="AD33" s="370"/>
      <c r="AE33" s="370"/>
      <c r="AF33" s="370"/>
      <c r="AG33" s="370"/>
      <c r="AH33" s="370">
        <f t="shared" si="9"/>
        <v>1</v>
      </c>
      <c r="AI33" s="370">
        <f>K33/J33*AH33</f>
        <v>0.35460992907801425</v>
      </c>
      <c r="AJ33" s="366"/>
      <c r="AK33" s="366"/>
      <c r="AL33" s="360"/>
      <c r="AM33" s="305"/>
      <c r="AN33" s="305"/>
      <c r="AO33" s="305"/>
      <c r="AP33" s="305"/>
      <c r="AQ33" s="305"/>
      <c r="AR33" s="305"/>
      <c r="AS33" s="305"/>
      <c r="AT33" s="305"/>
      <c r="AU33" s="305"/>
      <c r="AV33" s="305"/>
    </row>
    <row r="34" spans="1:48" s="306" customFormat="1" ht="40.5" hidden="1">
      <c r="A34" s="308" t="s">
        <v>401</v>
      </c>
      <c r="B34" s="363" t="s">
        <v>614</v>
      </c>
      <c r="C34" s="284" t="s">
        <v>796</v>
      </c>
      <c r="D34" s="284"/>
      <c r="E34" s="284"/>
      <c r="F34" s="284"/>
      <c r="G34" s="284"/>
      <c r="H34" s="284"/>
      <c r="I34" s="284"/>
      <c r="J34" s="366">
        <v>1</v>
      </c>
      <c r="K34" s="370">
        <f t="shared" si="6"/>
        <v>0.35460992907801425</v>
      </c>
      <c r="L34" s="371">
        <v>5</v>
      </c>
      <c r="M34" s="371"/>
      <c r="N34" s="366">
        <f t="shared" si="2"/>
        <v>1</v>
      </c>
      <c r="O34" s="370">
        <f t="shared" si="3"/>
        <v>0</v>
      </c>
      <c r="P34" s="370">
        <f t="shared" si="4"/>
        <v>0</v>
      </c>
      <c r="Q34" s="366">
        <f t="shared" si="7"/>
        <v>1</v>
      </c>
      <c r="R34" s="370">
        <f t="shared" si="0"/>
        <v>0</v>
      </c>
      <c r="S34" s="366">
        <f t="shared" si="8"/>
        <v>0</v>
      </c>
      <c r="T34" s="366">
        <v>0</v>
      </c>
      <c r="U34" s="370">
        <f t="shared" si="5"/>
        <v>0</v>
      </c>
      <c r="V34" s="366"/>
      <c r="W34" s="372"/>
      <c r="X34" s="366"/>
      <c r="Y34" s="366"/>
      <c r="Z34" s="366"/>
      <c r="AA34" s="366"/>
      <c r="AB34" s="366"/>
      <c r="AC34" s="366"/>
      <c r="AD34" s="366"/>
      <c r="AE34" s="366"/>
      <c r="AF34" s="366"/>
      <c r="AG34" s="366"/>
      <c r="AH34" s="366"/>
      <c r="AI34" s="366"/>
      <c r="AJ34" s="366"/>
      <c r="AK34" s="366"/>
      <c r="AL34" s="360"/>
      <c r="AM34" s="305" t="s">
        <v>823</v>
      </c>
      <c r="AN34" s="305"/>
      <c r="AO34" s="305"/>
      <c r="AP34" s="305"/>
      <c r="AQ34" s="305"/>
      <c r="AR34" s="305"/>
      <c r="AS34" s="305"/>
      <c r="AT34" s="305"/>
      <c r="AU34" s="305"/>
      <c r="AV34" s="305"/>
    </row>
    <row r="35" spans="1:48" s="306" customFormat="1" ht="39" hidden="1">
      <c r="A35" s="308" t="s">
        <v>404</v>
      </c>
      <c r="B35" s="297" t="s">
        <v>615</v>
      </c>
      <c r="C35" s="352" t="s">
        <v>794</v>
      </c>
      <c r="D35" s="284"/>
      <c r="E35" s="284"/>
      <c r="F35" s="284"/>
      <c r="G35" s="284"/>
      <c r="H35" s="284"/>
      <c r="I35" s="284"/>
      <c r="J35" s="366">
        <v>1</v>
      </c>
      <c r="K35" s="370">
        <f t="shared" si="6"/>
        <v>3.5460992907801421</v>
      </c>
      <c r="L35" s="371">
        <v>50</v>
      </c>
      <c r="M35" s="371"/>
      <c r="N35" s="366">
        <f t="shared" si="2"/>
        <v>1</v>
      </c>
      <c r="O35" s="370">
        <f t="shared" si="3"/>
        <v>0</v>
      </c>
      <c r="P35" s="370">
        <f t="shared" si="4"/>
        <v>0</v>
      </c>
      <c r="Q35" s="366">
        <f t="shared" si="7"/>
        <v>1</v>
      </c>
      <c r="R35" s="370">
        <f t="shared" si="0"/>
        <v>0</v>
      </c>
      <c r="S35" s="366">
        <f t="shared" si="8"/>
        <v>0</v>
      </c>
      <c r="T35" s="366">
        <v>0</v>
      </c>
      <c r="U35" s="370">
        <f t="shared" si="5"/>
        <v>0</v>
      </c>
      <c r="V35" s="366">
        <v>1</v>
      </c>
      <c r="W35" s="366">
        <v>8.23</v>
      </c>
      <c r="X35" s="366">
        <v>100</v>
      </c>
      <c r="Y35" s="366">
        <v>0</v>
      </c>
      <c r="Z35" s="366"/>
      <c r="AA35" s="366">
        <v>0</v>
      </c>
      <c r="AB35" s="366"/>
      <c r="AC35" s="366"/>
      <c r="AD35" s="366"/>
      <c r="AE35" s="366"/>
      <c r="AF35" s="366"/>
      <c r="AG35" s="366"/>
      <c r="AH35" s="366">
        <v>0</v>
      </c>
      <c r="AI35" s="366">
        <v>0</v>
      </c>
      <c r="AJ35" s="366"/>
      <c r="AK35" s="366"/>
      <c r="AL35" s="360"/>
      <c r="AM35" s="305"/>
      <c r="AN35" s="305"/>
      <c r="AO35" s="305"/>
      <c r="AP35" s="305"/>
      <c r="AQ35" s="305"/>
      <c r="AR35" s="305"/>
      <c r="AS35" s="305"/>
      <c r="AT35" s="305"/>
      <c r="AU35" s="305"/>
      <c r="AV35" s="305"/>
    </row>
    <row r="36" spans="1:48" s="306" customFormat="1" ht="39" hidden="1">
      <c r="A36" s="308" t="s">
        <v>406</v>
      </c>
      <c r="B36" s="304" t="s">
        <v>540</v>
      </c>
      <c r="C36" s="283" t="s">
        <v>797</v>
      </c>
      <c r="D36" s="284"/>
      <c r="E36" s="284"/>
      <c r="F36" s="284"/>
      <c r="G36" s="284"/>
      <c r="H36" s="284"/>
      <c r="I36" s="284"/>
      <c r="J36" s="366">
        <v>1</v>
      </c>
      <c r="K36" s="370">
        <f t="shared" si="6"/>
        <v>3.5460992907801421</v>
      </c>
      <c r="L36" s="371">
        <v>50</v>
      </c>
      <c r="M36" s="371">
        <v>50</v>
      </c>
      <c r="N36" s="366">
        <f t="shared" si="2"/>
        <v>1</v>
      </c>
      <c r="O36" s="370">
        <f t="shared" si="3"/>
        <v>7.0921985815602842</v>
      </c>
      <c r="P36" s="370">
        <f t="shared" si="4"/>
        <v>50</v>
      </c>
      <c r="Q36" s="366">
        <f t="shared" si="7"/>
        <v>1</v>
      </c>
      <c r="R36" s="370">
        <f t="shared" si="0"/>
        <v>7.0921985815602842</v>
      </c>
      <c r="S36" s="366">
        <f t="shared" si="8"/>
        <v>100</v>
      </c>
      <c r="T36" s="366">
        <v>49.28</v>
      </c>
      <c r="U36" s="370">
        <f t="shared" si="5"/>
        <v>98.56</v>
      </c>
      <c r="V36" s="366">
        <v>0</v>
      </c>
      <c r="W36" s="366">
        <v>0</v>
      </c>
      <c r="X36" s="366">
        <v>0</v>
      </c>
      <c r="Y36" s="366">
        <v>0</v>
      </c>
      <c r="Z36" s="366"/>
      <c r="AA36" s="366">
        <v>0</v>
      </c>
      <c r="AB36" s="366"/>
      <c r="AC36" s="366"/>
      <c r="AD36" s="366"/>
      <c r="AE36" s="366"/>
      <c r="AF36" s="366"/>
      <c r="AG36" s="366"/>
      <c r="AH36" s="366">
        <v>0</v>
      </c>
      <c r="AI36" s="366">
        <v>0</v>
      </c>
      <c r="AJ36" s="366"/>
      <c r="AK36" s="366"/>
      <c r="AL36" s="360"/>
      <c r="AM36" s="305" t="s">
        <v>823</v>
      </c>
      <c r="AN36" s="305"/>
      <c r="AO36" s="305"/>
      <c r="AP36" s="305"/>
      <c r="AQ36" s="305"/>
      <c r="AR36" s="305"/>
      <c r="AS36" s="305"/>
      <c r="AT36" s="305"/>
      <c r="AU36" s="305"/>
      <c r="AV36" s="305"/>
    </row>
    <row r="37" spans="1:48" s="306" customFormat="1" ht="39" hidden="1">
      <c r="A37" s="308" t="s">
        <v>407</v>
      </c>
      <c r="B37" s="297" t="s">
        <v>616</v>
      </c>
      <c r="C37" s="352" t="s">
        <v>794</v>
      </c>
      <c r="D37" s="284"/>
      <c r="E37" s="284"/>
      <c r="F37" s="284"/>
      <c r="G37" s="284"/>
      <c r="H37" s="284"/>
      <c r="I37" s="284"/>
      <c r="J37" s="366">
        <v>1</v>
      </c>
      <c r="K37" s="370">
        <f t="shared" si="6"/>
        <v>0.35460992907801425</v>
      </c>
      <c r="L37" s="371">
        <v>5</v>
      </c>
      <c r="M37" s="371"/>
      <c r="N37" s="366">
        <f t="shared" si="2"/>
        <v>1</v>
      </c>
      <c r="O37" s="370">
        <f t="shared" si="3"/>
        <v>0</v>
      </c>
      <c r="P37" s="370">
        <f t="shared" si="4"/>
        <v>0</v>
      </c>
      <c r="Q37" s="366">
        <f t="shared" si="7"/>
        <v>1</v>
      </c>
      <c r="R37" s="370">
        <f t="shared" si="0"/>
        <v>0</v>
      </c>
      <c r="S37" s="366">
        <f t="shared" si="8"/>
        <v>0</v>
      </c>
      <c r="T37" s="366">
        <v>0</v>
      </c>
      <c r="U37" s="370">
        <f t="shared" si="5"/>
        <v>0</v>
      </c>
      <c r="V37" s="370">
        <v>0.2</v>
      </c>
      <c r="W37" s="372">
        <v>1.65</v>
      </c>
      <c r="X37" s="370">
        <v>20</v>
      </c>
      <c r="Y37" s="370">
        <f>V37</f>
        <v>0.2</v>
      </c>
      <c r="Z37" s="370"/>
      <c r="AA37" s="370">
        <v>1.65</v>
      </c>
      <c r="AB37" s="370"/>
      <c r="AC37" s="370"/>
      <c r="AD37" s="370"/>
      <c r="AE37" s="370"/>
      <c r="AF37" s="370"/>
      <c r="AG37" s="370"/>
      <c r="AH37" s="370">
        <v>1</v>
      </c>
      <c r="AI37" s="370">
        <f>K37/J37*AH37</f>
        <v>0.35460992907801425</v>
      </c>
      <c r="AJ37" s="366"/>
      <c r="AK37" s="366"/>
      <c r="AL37" s="360"/>
      <c r="AM37" s="305"/>
      <c r="AN37" s="305"/>
      <c r="AO37" s="305"/>
      <c r="AP37" s="305"/>
      <c r="AQ37" s="305"/>
      <c r="AR37" s="305"/>
      <c r="AS37" s="305"/>
      <c r="AT37" s="305"/>
      <c r="AU37" s="305"/>
      <c r="AV37" s="305"/>
    </row>
    <row r="38" spans="1:48" s="306" customFormat="1" ht="39" hidden="1">
      <c r="A38" s="308" t="s">
        <v>409</v>
      </c>
      <c r="B38" s="304" t="s">
        <v>540</v>
      </c>
      <c r="C38" s="341" t="s">
        <v>797</v>
      </c>
      <c r="D38" s="284"/>
      <c r="E38" s="284"/>
      <c r="F38" s="284"/>
      <c r="G38" s="284"/>
      <c r="H38" s="284"/>
      <c r="I38" s="284"/>
      <c r="J38" s="366">
        <v>1</v>
      </c>
      <c r="K38" s="370">
        <f t="shared" si="6"/>
        <v>0.35460992907801425</v>
      </c>
      <c r="L38" s="371">
        <v>5</v>
      </c>
      <c r="M38" s="371">
        <v>5</v>
      </c>
      <c r="N38" s="366">
        <f t="shared" si="2"/>
        <v>1</v>
      </c>
      <c r="O38" s="370">
        <f t="shared" si="3"/>
        <v>0.7092198581560285</v>
      </c>
      <c r="P38" s="370">
        <f t="shared" si="4"/>
        <v>5</v>
      </c>
      <c r="Q38" s="366">
        <f t="shared" si="7"/>
        <v>1</v>
      </c>
      <c r="R38" s="370">
        <f t="shared" si="0"/>
        <v>0.7092198581560285</v>
      </c>
      <c r="S38" s="366">
        <f t="shared" si="8"/>
        <v>100</v>
      </c>
      <c r="T38" s="366">
        <v>5</v>
      </c>
      <c r="U38" s="370">
        <f t="shared" si="5"/>
        <v>100</v>
      </c>
      <c r="V38" s="370"/>
      <c r="W38" s="372"/>
      <c r="X38" s="370"/>
      <c r="Y38" s="370"/>
      <c r="Z38" s="370"/>
      <c r="AA38" s="370"/>
      <c r="AB38" s="370"/>
      <c r="AC38" s="370"/>
      <c r="AD38" s="370"/>
      <c r="AE38" s="370"/>
      <c r="AF38" s="370"/>
      <c r="AG38" s="370"/>
      <c r="AH38" s="370"/>
      <c r="AI38" s="370"/>
      <c r="AJ38" s="366"/>
      <c r="AK38" s="366"/>
      <c r="AL38" s="360"/>
      <c r="AM38" s="305" t="s">
        <v>823</v>
      </c>
      <c r="AN38" s="305"/>
      <c r="AO38" s="305"/>
      <c r="AP38" s="305"/>
      <c r="AQ38" s="305"/>
      <c r="AR38" s="305"/>
      <c r="AS38" s="305"/>
      <c r="AT38" s="305"/>
      <c r="AU38" s="305"/>
      <c r="AV38" s="305"/>
    </row>
    <row r="39" spans="1:48" s="306" customFormat="1" ht="40.5" hidden="1">
      <c r="A39" s="308" t="s">
        <v>414</v>
      </c>
      <c r="B39" s="363" t="s">
        <v>617</v>
      </c>
      <c r="C39" s="352" t="s">
        <v>794</v>
      </c>
      <c r="D39" s="284"/>
      <c r="E39" s="284"/>
      <c r="F39" s="284"/>
      <c r="G39" s="284"/>
      <c r="H39" s="284"/>
      <c r="I39" s="284"/>
      <c r="J39" s="366">
        <v>1</v>
      </c>
      <c r="K39" s="370">
        <f t="shared" si="6"/>
        <v>0.42553191489361714</v>
      </c>
      <c r="L39" s="371">
        <v>6</v>
      </c>
      <c r="M39" s="371"/>
      <c r="N39" s="366">
        <f t="shared" si="2"/>
        <v>1</v>
      </c>
      <c r="O39" s="370">
        <f t="shared" si="3"/>
        <v>0</v>
      </c>
      <c r="P39" s="370">
        <f t="shared" si="4"/>
        <v>0</v>
      </c>
      <c r="Q39" s="366">
        <f t="shared" si="7"/>
        <v>1</v>
      </c>
      <c r="R39" s="370">
        <f t="shared" si="0"/>
        <v>0</v>
      </c>
      <c r="S39" s="366">
        <f t="shared" si="8"/>
        <v>0</v>
      </c>
      <c r="T39" s="366">
        <v>0</v>
      </c>
      <c r="U39" s="370">
        <f t="shared" si="5"/>
        <v>0</v>
      </c>
      <c r="V39" s="370"/>
      <c r="W39" s="372"/>
      <c r="X39" s="370"/>
      <c r="Y39" s="370"/>
      <c r="Z39" s="370"/>
      <c r="AA39" s="370"/>
      <c r="AB39" s="370"/>
      <c r="AC39" s="370"/>
      <c r="AD39" s="370"/>
      <c r="AE39" s="370"/>
      <c r="AF39" s="370"/>
      <c r="AG39" s="370"/>
      <c r="AH39" s="370"/>
      <c r="AI39" s="370"/>
      <c r="AJ39" s="366"/>
      <c r="AK39" s="366"/>
      <c r="AL39" s="360"/>
      <c r="AN39" s="305"/>
      <c r="AO39" s="305"/>
      <c r="AP39" s="305"/>
      <c r="AQ39" s="305"/>
      <c r="AR39" s="305"/>
      <c r="AS39" s="305"/>
      <c r="AT39" s="305"/>
      <c r="AU39" s="305"/>
      <c r="AV39" s="305"/>
    </row>
    <row r="40" spans="1:48" s="306" customFormat="1" ht="39" hidden="1">
      <c r="A40" s="308" t="s">
        <v>416</v>
      </c>
      <c r="B40" s="304" t="s">
        <v>540</v>
      </c>
      <c r="C40" s="341" t="s">
        <v>797</v>
      </c>
      <c r="D40" s="284"/>
      <c r="E40" s="284"/>
      <c r="F40" s="284"/>
      <c r="G40" s="284"/>
      <c r="H40" s="284"/>
      <c r="I40" s="284"/>
      <c r="J40" s="366">
        <v>1</v>
      </c>
      <c r="K40" s="370">
        <f t="shared" si="6"/>
        <v>0.42553191489361714</v>
      </c>
      <c r="L40" s="371">
        <v>6</v>
      </c>
      <c r="M40" s="371">
        <v>0</v>
      </c>
      <c r="N40" s="366">
        <f t="shared" si="2"/>
        <v>1</v>
      </c>
      <c r="O40" s="370">
        <f t="shared" si="3"/>
        <v>0</v>
      </c>
      <c r="P40" s="370">
        <f t="shared" si="4"/>
        <v>0</v>
      </c>
      <c r="Q40" s="366">
        <f t="shared" si="7"/>
        <v>1</v>
      </c>
      <c r="R40" s="370">
        <f t="shared" si="0"/>
        <v>0</v>
      </c>
      <c r="S40" s="366">
        <f t="shared" si="8"/>
        <v>0</v>
      </c>
      <c r="T40" s="366">
        <v>0</v>
      </c>
      <c r="U40" s="370">
        <f t="shared" si="5"/>
        <v>0</v>
      </c>
      <c r="V40" s="370"/>
      <c r="W40" s="372"/>
      <c r="X40" s="370"/>
      <c r="Y40" s="370"/>
      <c r="Z40" s="370"/>
      <c r="AA40" s="370"/>
      <c r="AB40" s="370"/>
      <c r="AC40" s="370"/>
      <c r="AD40" s="370"/>
      <c r="AE40" s="370"/>
      <c r="AF40" s="370"/>
      <c r="AG40" s="370"/>
      <c r="AH40" s="370"/>
      <c r="AI40" s="370"/>
      <c r="AJ40" s="366"/>
      <c r="AK40" s="366"/>
      <c r="AL40" s="360"/>
      <c r="AM40" s="305" t="s">
        <v>820</v>
      </c>
      <c r="AN40" s="305"/>
      <c r="AO40" s="305"/>
      <c r="AP40" s="305"/>
      <c r="AQ40" s="305"/>
      <c r="AR40" s="305"/>
      <c r="AS40" s="305"/>
      <c r="AT40" s="305"/>
      <c r="AU40" s="305"/>
      <c r="AV40" s="305"/>
    </row>
    <row r="41" spans="1:48" s="306" customFormat="1" ht="40.5" hidden="1">
      <c r="A41" s="308" t="s">
        <v>417</v>
      </c>
      <c r="B41" s="363" t="s">
        <v>618</v>
      </c>
      <c r="C41" s="352" t="s">
        <v>794</v>
      </c>
      <c r="D41" s="284"/>
      <c r="E41" s="284"/>
      <c r="F41" s="284"/>
      <c r="G41" s="284"/>
      <c r="H41" s="284"/>
      <c r="I41" s="284"/>
      <c r="J41" s="366">
        <v>1</v>
      </c>
      <c r="K41" s="370">
        <f t="shared" si="6"/>
        <v>0.85106382978723427</v>
      </c>
      <c r="L41" s="371">
        <v>12</v>
      </c>
      <c r="M41" s="371"/>
      <c r="N41" s="366">
        <f t="shared" si="2"/>
        <v>1</v>
      </c>
      <c r="O41" s="370">
        <f t="shared" si="3"/>
        <v>0</v>
      </c>
      <c r="P41" s="370">
        <f t="shared" si="4"/>
        <v>0</v>
      </c>
      <c r="Q41" s="366">
        <f t="shared" si="7"/>
        <v>1</v>
      </c>
      <c r="R41" s="370">
        <f t="shared" si="0"/>
        <v>0</v>
      </c>
      <c r="S41" s="366">
        <f t="shared" si="8"/>
        <v>0</v>
      </c>
      <c r="T41" s="366">
        <v>0</v>
      </c>
      <c r="U41" s="370">
        <f t="shared" si="5"/>
        <v>0</v>
      </c>
      <c r="V41" s="370"/>
      <c r="W41" s="372"/>
      <c r="X41" s="370"/>
      <c r="Y41" s="370"/>
      <c r="Z41" s="370"/>
      <c r="AA41" s="370"/>
      <c r="AB41" s="370"/>
      <c r="AC41" s="370"/>
      <c r="AD41" s="370"/>
      <c r="AE41" s="370"/>
      <c r="AF41" s="370"/>
      <c r="AG41" s="370"/>
      <c r="AH41" s="370"/>
      <c r="AI41" s="370"/>
      <c r="AJ41" s="366"/>
      <c r="AK41" s="366"/>
      <c r="AL41" s="360"/>
      <c r="AM41" s="305"/>
      <c r="AN41" s="305"/>
      <c r="AO41" s="305"/>
      <c r="AP41" s="305"/>
      <c r="AQ41" s="305"/>
      <c r="AR41" s="305"/>
      <c r="AS41" s="305"/>
      <c r="AT41" s="305"/>
      <c r="AU41" s="305"/>
      <c r="AV41" s="305"/>
    </row>
    <row r="42" spans="1:48" s="306" customFormat="1" ht="39" hidden="1">
      <c r="A42" s="308" t="s">
        <v>419</v>
      </c>
      <c r="B42" s="304" t="s">
        <v>540</v>
      </c>
      <c r="C42" s="341" t="s">
        <v>797</v>
      </c>
      <c r="D42" s="284"/>
      <c r="E42" s="284"/>
      <c r="F42" s="284"/>
      <c r="G42" s="284"/>
      <c r="H42" s="284"/>
      <c r="I42" s="284"/>
      <c r="J42" s="366">
        <v>1</v>
      </c>
      <c r="K42" s="370">
        <f t="shared" si="6"/>
        <v>0.85106382978723427</v>
      </c>
      <c r="L42" s="371">
        <v>12</v>
      </c>
      <c r="M42" s="371">
        <v>8.51</v>
      </c>
      <c r="N42" s="366">
        <f t="shared" si="2"/>
        <v>1</v>
      </c>
      <c r="O42" s="370">
        <f t="shared" si="3"/>
        <v>1.2070921985815604</v>
      </c>
      <c r="P42" s="370">
        <f t="shared" si="4"/>
        <v>8.51</v>
      </c>
      <c r="Q42" s="366">
        <f t="shared" si="7"/>
        <v>1</v>
      </c>
      <c r="R42" s="370">
        <f t="shared" si="0"/>
        <v>1.2070921985815604</v>
      </c>
      <c r="S42" s="366">
        <f t="shared" si="8"/>
        <v>100</v>
      </c>
      <c r="T42" s="366">
        <v>7.49</v>
      </c>
      <c r="U42" s="370">
        <f t="shared" si="5"/>
        <v>88.014101057579325</v>
      </c>
      <c r="V42" s="370"/>
      <c r="W42" s="372"/>
      <c r="X42" s="370"/>
      <c r="Y42" s="370"/>
      <c r="Z42" s="370"/>
      <c r="AA42" s="370"/>
      <c r="AB42" s="370"/>
      <c r="AC42" s="370"/>
      <c r="AD42" s="370"/>
      <c r="AE42" s="370"/>
      <c r="AF42" s="370"/>
      <c r="AG42" s="370"/>
      <c r="AH42" s="370"/>
      <c r="AI42" s="370"/>
      <c r="AJ42" s="366"/>
      <c r="AK42" s="366"/>
      <c r="AL42" s="360"/>
      <c r="AM42" s="305" t="s">
        <v>823</v>
      </c>
      <c r="AN42" s="305"/>
      <c r="AO42" s="305"/>
      <c r="AP42" s="305"/>
      <c r="AQ42" s="305"/>
      <c r="AR42" s="305"/>
      <c r="AS42" s="305"/>
      <c r="AT42" s="305"/>
      <c r="AU42" s="305"/>
      <c r="AV42" s="305"/>
    </row>
    <row r="43" spans="1:48" s="306" customFormat="1" ht="40.5" hidden="1">
      <c r="A43" s="308" t="s">
        <v>420</v>
      </c>
      <c r="B43" s="363" t="s">
        <v>619</v>
      </c>
      <c r="C43" s="283" t="s">
        <v>794</v>
      </c>
      <c r="D43" s="284"/>
      <c r="E43" s="284"/>
      <c r="F43" s="284"/>
      <c r="G43" s="284"/>
      <c r="H43" s="284"/>
      <c r="I43" s="284"/>
      <c r="J43" s="366">
        <v>1</v>
      </c>
      <c r="K43" s="370">
        <f t="shared" si="6"/>
        <v>0.42553191489361714</v>
      </c>
      <c r="L43" s="371">
        <v>6</v>
      </c>
      <c r="M43" s="371"/>
      <c r="N43" s="366">
        <f t="shared" si="2"/>
        <v>1</v>
      </c>
      <c r="O43" s="370">
        <f t="shared" si="3"/>
        <v>0</v>
      </c>
      <c r="P43" s="370">
        <f t="shared" si="4"/>
        <v>0</v>
      </c>
      <c r="Q43" s="366">
        <f t="shared" si="7"/>
        <v>1</v>
      </c>
      <c r="R43" s="370">
        <f t="shared" si="0"/>
        <v>0</v>
      </c>
      <c r="S43" s="366">
        <f t="shared" si="8"/>
        <v>0</v>
      </c>
      <c r="T43" s="366">
        <v>0</v>
      </c>
      <c r="U43" s="370">
        <f t="shared" si="5"/>
        <v>0</v>
      </c>
      <c r="V43" s="370"/>
      <c r="W43" s="372"/>
      <c r="X43" s="370"/>
      <c r="Y43" s="370"/>
      <c r="Z43" s="370"/>
      <c r="AA43" s="370"/>
      <c r="AB43" s="370"/>
      <c r="AC43" s="370"/>
      <c r="AD43" s="370"/>
      <c r="AE43" s="370"/>
      <c r="AF43" s="370"/>
      <c r="AG43" s="370"/>
      <c r="AH43" s="370"/>
      <c r="AI43" s="370"/>
      <c r="AJ43" s="366"/>
      <c r="AK43" s="366"/>
      <c r="AL43" s="360"/>
      <c r="AM43" s="305"/>
      <c r="AN43" s="305"/>
      <c r="AO43" s="305"/>
      <c r="AP43" s="305"/>
      <c r="AQ43" s="305"/>
      <c r="AR43" s="305"/>
      <c r="AS43" s="305"/>
      <c r="AT43" s="305"/>
      <c r="AU43" s="305"/>
      <c r="AV43" s="305"/>
    </row>
    <row r="44" spans="1:48" s="306" customFormat="1" ht="39" hidden="1">
      <c r="A44" s="308" t="s">
        <v>422</v>
      </c>
      <c r="B44" s="304" t="s">
        <v>540</v>
      </c>
      <c r="C44" s="283" t="s">
        <v>797</v>
      </c>
      <c r="D44" s="284"/>
      <c r="E44" s="284"/>
      <c r="F44" s="284"/>
      <c r="G44" s="284"/>
      <c r="H44" s="284"/>
      <c r="I44" s="284"/>
      <c r="J44" s="366">
        <v>1</v>
      </c>
      <c r="K44" s="370">
        <f t="shared" si="6"/>
        <v>0.42553191489361714</v>
      </c>
      <c r="L44" s="371">
        <v>6</v>
      </c>
      <c r="M44" s="371">
        <v>0</v>
      </c>
      <c r="N44" s="366">
        <f t="shared" si="2"/>
        <v>1</v>
      </c>
      <c r="O44" s="370">
        <f t="shared" si="3"/>
        <v>0</v>
      </c>
      <c r="P44" s="370">
        <f t="shared" si="4"/>
        <v>0</v>
      </c>
      <c r="Q44" s="366">
        <f t="shared" si="7"/>
        <v>1</v>
      </c>
      <c r="R44" s="370">
        <f t="shared" si="0"/>
        <v>0</v>
      </c>
      <c r="S44" s="366">
        <f t="shared" si="8"/>
        <v>0</v>
      </c>
      <c r="T44" s="366">
        <v>0</v>
      </c>
      <c r="U44" s="370">
        <f t="shared" si="5"/>
        <v>0</v>
      </c>
      <c r="V44" s="370"/>
      <c r="W44" s="372"/>
      <c r="X44" s="370"/>
      <c r="Y44" s="370"/>
      <c r="Z44" s="370"/>
      <c r="AA44" s="370"/>
      <c r="AB44" s="370"/>
      <c r="AC44" s="370"/>
      <c r="AD44" s="370"/>
      <c r="AE44" s="370"/>
      <c r="AF44" s="370"/>
      <c r="AG44" s="370"/>
      <c r="AH44" s="370"/>
      <c r="AI44" s="370"/>
      <c r="AJ44" s="366"/>
      <c r="AK44" s="366"/>
      <c r="AL44" s="360"/>
      <c r="AM44" s="305" t="s">
        <v>823</v>
      </c>
      <c r="AN44" s="305"/>
      <c r="AO44" s="305"/>
      <c r="AP44" s="305"/>
      <c r="AQ44" s="305"/>
      <c r="AR44" s="305"/>
      <c r="AS44" s="305"/>
      <c r="AT44" s="305"/>
      <c r="AU44" s="305"/>
      <c r="AV44" s="305"/>
    </row>
    <row r="45" spans="1:48" s="306" customFormat="1" ht="40.5" hidden="1">
      <c r="A45" s="308" t="s">
        <v>423</v>
      </c>
      <c r="B45" s="363" t="s">
        <v>620</v>
      </c>
      <c r="C45" s="283" t="s">
        <v>794</v>
      </c>
      <c r="D45" s="284"/>
      <c r="E45" s="284"/>
      <c r="F45" s="284"/>
      <c r="G45" s="284"/>
      <c r="H45" s="284"/>
      <c r="I45" s="284"/>
      <c r="J45" s="366">
        <v>1</v>
      </c>
      <c r="K45" s="370">
        <f t="shared" si="6"/>
        <v>0.42553191489361714</v>
      </c>
      <c r="L45" s="371">
        <v>6</v>
      </c>
      <c r="M45" s="371"/>
      <c r="N45" s="366">
        <f t="shared" si="2"/>
        <v>1</v>
      </c>
      <c r="O45" s="370">
        <f t="shared" si="3"/>
        <v>0</v>
      </c>
      <c r="P45" s="370">
        <f t="shared" si="4"/>
        <v>0</v>
      </c>
      <c r="Q45" s="366">
        <f t="shared" si="7"/>
        <v>1</v>
      </c>
      <c r="R45" s="370">
        <f t="shared" si="0"/>
        <v>0</v>
      </c>
      <c r="S45" s="366">
        <f t="shared" si="8"/>
        <v>0</v>
      </c>
      <c r="T45" s="366">
        <v>0</v>
      </c>
      <c r="U45" s="370">
        <f t="shared" si="5"/>
        <v>0</v>
      </c>
      <c r="V45" s="370">
        <v>0.34</v>
      </c>
      <c r="W45" s="372">
        <v>0.82</v>
      </c>
      <c r="X45" s="370">
        <v>10</v>
      </c>
      <c r="Y45" s="370">
        <f t="shared" ref="Y45:Y46" si="11">V45</f>
        <v>0.34</v>
      </c>
      <c r="Z45" s="370"/>
      <c r="AA45" s="370">
        <v>0.34</v>
      </c>
      <c r="AB45" s="370"/>
      <c r="AC45" s="370"/>
      <c r="AD45" s="370"/>
      <c r="AE45" s="370"/>
      <c r="AF45" s="370"/>
      <c r="AG45" s="370"/>
      <c r="AH45" s="370">
        <v>1</v>
      </c>
      <c r="AI45" s="370">
        <f>K45/J45*AH45</f>
        <v>0.42553191489361714</v>
      </c>
      <c r="AJ45" s="366"/>
      <c r="AK45" s="366"/>
      <c r="AL45" s="360"/>
      <c r="AM45" s="305"/>
      <c r="AN45" s="305"/>
      <c r="AO45" s="305"/>
      <c r="AP45" s="305"/>
      <c r="AQ45" s="305"/>
      <c r="AR45" s="305"/>
      <c r="AS45" s="305"/>
      <c r="AT45" s="305"/>
      <c r="AU45" s="305"/>
      <c r="AV45" s="305"/>
    </row>
    <row r="46" spans="1:48" s="306" customFormat="1" ht="39" hidden="1">
      <c r="A46" s="308" t="s">
        <v>425</v>
      </c>
      <c r="B46" s="304" t="s">
        <v>540</v>
      </c>
      <c r="C46" s="283" t="s">
        <v>797</v>
      </c>
      <c r="D46" s="284"/>
      <c r="E46" s="284"/>
      <c r="F46" s="284"/>
      <c r="G46" s="284"/>
      <c r="H46" s="284"/>
      <c r="I46" s="284"/>
      <c r="J46" s="366">
        <v>1</v>
      </c>
      <c r="K46" s="370">
        <f t="shared" si="6"/>
        <v>0.42553191489361714</v>
      </c>
      <c r="L46" s="371">
        <v>6</v>
      </c>
      <c r="M46" s="371">
        <v>0</v>
      </c>
      <c r="N46" s="366">
        <f t="shared" si="2"/>
        <v>1</v>
      </c>
      <c r="O46" s="370">
        <f t="shared" si="3"/>
        <v>0</v>
      </c>
      <c r="P46" s="370">
        <f t="shared" si="4"/>
        <v>0</v>
      </c>
      <c r="Q46" s="366">
        <f t="shared" si="7"/>
        <v>1</v>
      </c>
      <c r="R46" s="370">
        <f t="shared" si="0"/>
        <v>0</v>
      </c>
      <c r="S46" s="366">
        <f t="shared" si="8"/>
        <v>0</v>
      </c>
      <c r="T46" s="366">
        <v>0</v>
      </c>
      <c r="U46" s="370">
        <f t="shared" si="5"/>
        <v>0</v>
      </c>
      <c r="V46" s="370">
        <v>0.34</v>
      </c>
      <c r="W46" s="372">
        <v>0.28000000000000003</v>
      </c>
      <c r="X46" s="370">
        <v>3.4</v>
      </c>
      <c r="Y46" s="370">
        <f t="shared" si="11"/>
        <v>0.34</v>
      </c>
      <c r="Z46" s="370"/>
      <c r="AA46" s="370">
        <f t="shared" si="10"/>
        <v>0.28000000000000003</v>
      </c>
      <c r="AB46" s="370"/>
      <c r="AC46" s="370"/>
      <c r="AD46" s="370"/>
      <c r="AE46" s="370"/>
      <c r="AF46" s="370"/>
      <c r="AG46" s="370"/>
      <c r="AH46" s="370">
        <v>1</v>
      </c>
      <c r="AI46" s="370">
        <f>K46/J46*AH46</f>
        <v>0.42553191489361714</v>
      </c>
      <c r="AJ46" s="366"/>
      <c r="AK46" s="366"/>
      <c r="AL46" s="360"/>
      <c r="AM46" s="305" t="s">
        <v>823</v>
      </c>
      <c r="AN46" s="305"/>
      <c r="AO46" s="305"/>
      <c r="AP46" s="305"/>
      <c r="AQ46" s="305"/>
      <c r="AR46" s="305"/>
      <c r="AS46" s="305"/>
      <c r="AT46" s="305"/>
      <c r="AU46" s="305"/>
      <c r="AV46" s="305"/>
    </row>
    <row r="47" spans="1:48" s="306" customFormat="1" ht="39" hidden="1">
      <c r="A47" s="308" t="s">
        <v>426</v>
      </c>
      <c r="B47" s="304" t="s">
        <v>621</v>
      </c>
      <c r="C47" s="283" t="s">
        <v>794</v>
      </c>
      <c r="D47" s="284"/>
      <c r="E47" s="284"/>
      <c r="F47" s="284"/>
      <c r="G47" s="284"/>
      <c r="H47" s="284"/>
      <c r="I47" s="284"/>
      <c r="J47" s="366">
        <v>1</v>
      </c>
      <c r="K47" s="370">
        <f t="shared" si="6"/>
        <v>0.85106382978723427</v>
      </c>
      <c r="L47" s="371">
        <v>12</v>
      </c>
      <c r="M47" s="371"/>
      <c r="N47" s="366">
        <f t="shared" si="2"/>
        <v>1</v>
      </c>
      <c r="O47" s="370">
        <f t="shared" si="3"/>
        <v>0</v>
      </c>
      <c r="P47" s="370">
        <f t="shared" si="4"/>
        <v>0</v>
      </c>
      <c r="Q47" s="366">
        <f t="shared" si="7"/>
        <v>1</v>
      </c>
      <c r="R47" s="370">
        <f t="shared" si="0"/>
        <v>0</v>
      </c>
      <c r="S47" s="366">
        <f t="shared" si="8"/>
        <v>0</v>
      </c>
      <c r="T47" s="366">
        <v>0</v>
      </c>
      <c r="U47" s="370">
        <f t="shared" si="5"/>
        <v>0</v>
      </c>
      <c r="V47" s="370"/>
      <c r="W47" s="372"/>
      <c r="X47" s="370"/>
      <c r="Y47" s="370"/>
      <c r="Z47" s="370"/>
      <c r="AA47" s="370"/>
      <c r="AB47" s="370"/>
      <c r="AC47" s="370"/>
      <c r="AD47" s="370"/>
      <c r="AE47" s="370"/>
      <c r="AF47" s="370"/>
      <c r="AG47" s="370"/>
      <c r="AH47" s="370"/>
      <c r="AI47" s="370"/>
      <c r="AJ47" s="366"/>
      <c r="AK47" s="366"/>
      <c r="AL47" s="360"/>
      <c r="AM47" s="305"/>
      <c r="AN47" s="305"/>
      <c r="AO47" s="305"/>
      <c r="AP47" s="305"/>
      <c r="AQ47" s="305"/>
      <c r="AR47" s="305"/>
      <c r="AS47" s="305"/>
      <c r="AT47" s="305"/>
      <c r="AU47" s="305"/>
      <c r="AV47" s="305"/>
    </row>
    <row r="48" spans="1:48" s="306" customFormat="1" ht="39" hidden="1">
      <c r="A48" s="308" t="s">
        <v>428</v>
      </c>
      <c r="B48" s="304" t="s">
        <v>540</v>
      </c>
      <c r="C48" s="283" t="s">
        <v>797</v>
      </c>
      <c r="D48" s="284"/>
      <c r="E48" s="284"/>
      <c r="F48" s="284"/>
      <c r="G48" s="284"/>
      <c r="H48" s="284"/>
      <c r="I48" s="284"/>
      <c r="J48" s="366">
        <v>1</v>
      </c>
      <c r="K48" s="370">
        <f t="shared" si="6"/>
        <v>0.85106382978723427</v>
      </c>
      <c r="L48" s="371">
        <v>12</v>
      </c>
      <c r="M48" s="371">
        <v>0</v>
      </c>
      <c r="N48" s="366">
        <f t="shared" si="2"/>
        <v>1</v>
      </c>
      <c r="O48" s="370">
        <f t="shared" si="3"/>
        <v>0</v>
      </c>
      <c r="P48" s="370">
        <f t="shared" si="4"/>
        <v>0</v>
      </c>
      <c r="Q48" s="366">
        <f t="shared" si="7"/>
        <v>1</v>
      </c>
      <c r="R48" s="370">
        <f t="shared" si="0"/>
        <v>0</v>
      </c>
      <c r="S48" s="366">
        <f t="shared" si="8"/>
        <v>0</v>
      </c>
      <c r="T48" s="366">
        <v>0</v>
      </c>
      <c r="U48" s="370">
        <f t="shared" si="5"/>
        <v>0</v>
      </c>
      <c r="V48" s="370"/>
      <c r="W48" s="372"/>
      <c r="X48" s="370"/>
      <c r="Y48" s="370"/>
      <c r="Z48" s="370"/>
      <c r="AA48" s="370"/>
      <c r="AB48" s="370"/>
      <c r="AC48" s="370"/>
      <c r="AD48" s="370"/>
      <c r="AE48" s="370"/>
      <c r="AF48" s="370"/>
      <c r="AG48" s="370"/>
      <c r="AH48" s="370"/>
      <c r="AI48" s="370"/>
      <c r="AJ48" s="366"/>
      <c r="AK48" s="366"/>
      <c r="AL48" s="360"/>
      <c r="AM48" s="305" t="s">
        <v>823</v>
      </c>
      <c r="AN48" s="305"/>
      <c r="AO48" s="305"/>
      <c r="AP48" s="305"/>
      <c r="AQ48" s="305"/>
      <c r="AR48" s="305"/>
      <c r="AS48" s="305"/>
      <c r="AT48" s="305"/>
      <c r="AU48" s="305"/>
      <c r="AV48" s="305"/>
    </row>
    <row r="49" spans="1:48" s="306" customFormat="1" ht="39" hidden="1">
      <c r="A49" s="308" t="s">
        <v>429</v>
      </c>
      <c r="B49" s="304" t="s">
        <v>622</v>
      </c>
      <c r="C49" s="283" t="s">
        <v>794</v>
      </c>
      <c r="D49" s="284"/>
      <c r="E49" s="284"/>
      <c r="F49" s="284"/>
      <c r="G49" s="284"/>
      <c r="H49" s="284"/>
      <c r="I49" s="284"/>
      <c r="J49" s="366">
        <v>1</v>
      </c>
      <c r="K49" s="370">
        <f t="shared" si="6"/>
        <v>4.255319148936171</v>
      </c>
      <c r="L49" s="371">
        <v>60</v>
      </c>
      <c r="M49" s="371"/>
      <c r="N49" s="366">
        <f t="shared" si="2"/>
        <v>1</v>
      </c>
      <c r="O49" s="370">
        <f t="shared" si="3"/>
        <v>0</v>
      </c>
      <c r="P49" s="370">
        <f t="shared" si="4"/>
        <v>0</v>
      </c>
      <c r="Q49" s="366">
        <f t="shared" si="7"/>
        <v>1</v>
      </c>
      <c r="R49" s="370">
        <f t="shared" si="0"/>
        <v>0</v>
      </c>
      <c r="S49" s="366">
        <f t="shared" si="8"/>
        <v>0</v>
      </c>
      <c r="T49" s="366">
        <v>0</v>
      </c>
      <c r="U49" s="370">
        <f t="shared" si="5"/>
        <v>0</v>
      </c>
      <c r="V49" s="370"/>
      <c r="W49" s="372"/>
      <c r="X49" s="370"/>
      <c r="Y49" s="370"/>
      <c r="Z49" s="370"/>
      <c r="AA49" s="370"/>
      <c r="AB49" s="370"/>
      <c r="AC49" s="370"/>
      <c r="AD49" s="370"/>
      <c r="AE49" s="370"/>
      <c r="AF49" s="370"/>
      <c r="AG49" s="370"/>
      <c r="AH49" s="370"/>
      <c r="AI49" s="370"/>
      <c r="AJ49" s="366"/>
      <c r="AK49" s="366"/>
      <c r="AL49" s="360"/>
      <c r="AM49" s="305"/>
      <c r="AN49" s="305"/>
      <c r="AO49" s="305"/>
      <c r="AP49" s="305"/>
      <c r="AQ49" s="305"/>
      <c r="AR49" s="305"/>
      <c r="AS49" s="305"/>
      <c r="AT49" s="305"/>
      <c r="AU49" s="305"/>
      <c r="AV49" s="305"/>
    </row>
    <row r="50" spans="1:48" s="306" customFormat="1" ht="39" hidden="1">
      <c r="A50" s="308" t="s">
        <v>431</v>
      </c>
      <c r="B50" s="304" t="s">
        <v>540</v>
      </c>
      <c r="C50" s="283" t="s">
        <v>797</v>
      </c>
      <c r="D50" s="284"/>
      <c r="E50" s="284"/>
      <c r="F50" s="284"/>
      <c r="G50" s="284"/>
      <c r="H50" s="284"/>
      <c r="I50" s="284"/>
      <c r="J50" s="366">
        <v>1</v>
      </c>
      <c r="K50" s="370">
        <f t="shared" si="6"/>
        <v>4.255319148936171</v>
      </c>
      <c r="L50" s="371">
        <v>60</v>
      </c>
      <c r="M50" s="371">
        <v>0</v>
      </c>
      <c r="N50" s="366">
        <f t="shared" si="2"/>
        <v>1</v>
      </c>
      <c r="O50" s="370">
        <f t="shared" si="3"/>
        <v>0</v>
      </c>
      <c r="P50" s="370">
        <f t="shared" si="4"/>
        <v>0</v>
      </c>
      <c r="Q50" s="366">
        <f t="shared" si="7"/>
        <v>1</v>
      </c>
      <c r="R50" s="370">
        <f t="shared" si="0"/>
        <v>0</v>
      </c>
      <c r="S50" s="366">
        <f t="shared" si="8"/>
        <v>0</v>
      </c>
      <c r="T50" s="366">
        <v>0</v>
      </c>
      <c r="U50" s="370">
        <f t="shared" si="5"/>
        <v>0</v>
      </c>
      <c r="V50" s="370"/>
      <c r="W50" s="372"/>
      <c r="X50" s="370"/>
      <c r="Y50" s="370"/>
      <c r="Z50" s="370"/>
      <c r="AA50" s="370"/>
      <c r="AB50" s="370"/>
      <c r="AC50" s="370"/>
      <c r="AD50" s="370"/>
      <c r="AE50" s="370"/>
      <c r="AF50" s="370"/>
      <c r="AG50" s="370"/>
      <c r="AH50" s="370"/>
      <c r="AI50" s="370"/>
      <c r="AJ50" s="366"/>
      <c r="AK50" s="366"/>
      <c r="AL50" s="360"/>
      <c r="AM50" s="305" t="s">
        <v>823</v>
      </c>
      <c r="AN50" s="305"/>
      <c r="AO50" s="305"/>
      <c r="AP50" s="305"/>
      <c r="AQ50" s="305"/>
      <c r="AR50" s="305"/>
      <c r="AS50" s="305"/>
      <c r="AT50" s="305"/>
      <c r="AU50" s="305"/>
      <c r="AV50" s="305"/>
    </row>
    <row r="51" spans="1:48" s="306" customFormat="1" ht="39" hidden="1">
      <c r="A51" s="308" t="s">
        <v>432</v>
      </c>
      <c r="B51" s="304" t="s">
        <v>623</v>
      </c>
      <c r="C51" s="283" t="s">
        <v>794</v>
      </c>
      <c r="D51" s="284"/>
      <c r="E51" s="284"/>
      <c r="F51" s="284"/>
      <c r="G51" s="284"/>
      <c r="H51" s="284"/>
      <c r="I51" s="284"/>
      <c r="J51" s="366">
        <v>1</v>
      </c>
      <c r="K51" s="370">
        <f t="shared" si="6"/>
        <v>0.28368794326241142</v>
      </c>
      <c r="L51" s="371">
        <v>4</v>
      </c>
      <c r="M51" s="371"/>
      <c r="N51" s="366">
        <f t="shared" si="2"/>
        <v>1</v>
      </c>
      <c r="O51" s="370">
        <f t="shared" si="3"/>
        <v>0</v>
      </c>
      <c r="P51" s="370">
        <f t="shared" si="4"/>
        <v>0</v>
      </c>
      <c r="Q51" s="366">
        <f t="shared" si="7"/>
        <v>1</v>
      </c>
      <c r="R51" s="370">
        <f t="shared" si="0"/>
        <v>0</v>
      </c>
      <c r="S51" s="366">
        <f t="shared" si="8"/>
        <v>0</v>
      </c>
      <c r="T51" s="366">
        <v>0</v>
      </c>
      <c r="U51" s="370">
        <f t="shared" si="5"/>
        <v>0</v>
      </c>
      <c r="V51" s="370"/>
      <c r="W51" s="372"/>
      <c r="X51" s="370"/>
      <c r="Y51" s="370"/>
      <c r="Z51" s="370"/>
      <c r="AA51" s="370"/>
      <c r="AB51" s="370"/>
      <c r="AC51" s="370"/>
      <c r="AD51" s="370"/>
      <c r="AE51" s="370"/>
      <c r="AF51" s="370"/>
      <c r="AG51" s="370"/>
      <c r="AH51" s="370"/>
      <c r="AI51" s="370"/>
      <c r="AJ51" s="366"/>
      <c r="AK51" s="366"/>
      <c r="AL51" s="360"/>
      <c r="AM51" s="305"/>
      <c r="AN51" s="305"/>
      <c r="AO51" s="305"/>
      <c r="AP51" s="305"/>
      <c r="AQ51" s="305"/>
      <c r="AR51" s="305"/>
      <c r="AS51" s="305"/>
      <c r="AT51" s="305"/>
      <c r="AU51" s="305"/>
      <c r="AV51" s="305"/>
    </row>
    <row r="52" spans="1:48" s="306" customFormat="1" ht="39" hidden="1">
      <c r="A52" s="308" t="s">
        <v>434</v>
      </c>
      <c r="B52" s="304" t="s">
        <v>540</v>
      </c>
      <c r="C52" s="283" t="s">
        <v>797</v>
      </c>
      <c r="D52" s="284"/>
      <c r="E52" s="284"/>
      <c r="F52" s="284"/>
      <c r="G52" s="284"/>
      <c r="H52" s="284"/>
      <c r="I52" s="284"/>
      <c r="J52" s="366">
        <v>1</v>
      </c>
      <c r="K52" s="370">
        <f t="shared" si="6"/>
        <v>0.28368794326241142</v>
      </c>
      <c r="L52" s="371">
        <v>4</v>
      </c>
      <c r="M52" s="371">
        <v>0</v>
      </c>
      <c r="N52" s="366">
        <f t="shared" si="2"/>
        <v>1</v>
      </c>
      <c r="O52" s="370">
        <f t="shared" si="3"/>
        <v>0</v>
      </c>
      <c r="P52" s="370">
        <f t="shared" si="4"/>
        <v>0</v>
      </c>
      <c r="Q52" s="366">
        <f t="shared" si="7"/>
        <v>1</v>
      </c>
      <c r="R52" s="370">
        <f t="shared" si="0"/>
        <v>0</v>
      </c>
      <c r="S52" s="366">
        <f t="shared" si="8"/>
        <v>0</v>
      </c>
      <c r="T52" s="366">
        <v>0</v>
      </c>
      <c r="U52" s="370">
        <f t="shared" si="5"/>
        <v>0</v>
      </c>
      <c r="V52" s="370"/>
      <c r="W52" s="372"/>
      <c r="X52" s="370"/>
      <c r="Y52" s="370"/>
      <c r="Z52" s="370"/>
      <c r="AA52" s="370"/>
      <c r="AB52" s="370"/>
      <c r="AC52" s="370"/>
      <c r="AD52" s="370"/>
      <c r="AE52" s="370"/>
      <c r="AF52" s="370"/>
      <c r="AG52" s="370"/>
      <c r="AH52" s="370"/>
      <c r="AI52" s="370"/>
      <c r="AJ52" s="366"/>
      <c r="AK52" s="366"/>
      <c r="AL52" s="360"/>
      <c r="AM52" s="305" t="s">
        <v>823</v>
      </c>
      <c r="AN52" s="305"/>
      <c r="AO52" s="305"/>
      <c r="AP52" s="305"/>
      <c r="AQ52" s="305"/>
      <c r="AR52" s="305"/>
      <c r="AS52" s="305"/>
      <c r="AT52" s="305"/>
      <c r="AU52" s="305"/>
      <c r="AV52" s="305"/>
    </row>
    <row r="53" spans="1:48" s="306" customFormat="1" ht="39" hidden="1">
      <c r="A53" s="308" t="s">
        <v>435</v>
      </c>
      <c r="B53" s="304" t="s">
        <v>624</v>
      </c>
      <c r="C53" s="283" t="s">
        <v>794</v>
      </c>
      <c r="D53" s="284"/>
      <c r="E53" s="284"/>
      <c r="F53" s="284"/>
      <c r="G53" s="284"/>
      <c r="H53" s="284"/>
      <c r="I53" s="284"/>
      <c r="J53" s="366">
        <v>1</v>
      </c>
      <c r="K53" s="370">
        <f t="shared" si="6"/>
        <v>0.28368794326241142</v>
      </c>
      <c r="L53" s="371">
        <v>4</v>
      </c>
      <c r="M53" s="371"/>
      <c r="N53" s="366">
        <f t="shared" si="2"/>
        <v>1</v>
      </c>
      <c r="O53" s="370">
        <f t="shared" si="3"/>
        <v>0</v>
      </c>
      <c r="P53" s="370">
        <f t="shared" si="4"/>
        <v>0</v>
      </c>
      <c r="Q53" s="366">
        <f t="shared" si="7"/>
        <v>1</v>
      </c>
      <c r="R53" s="370">
        <f t="shared" si="0"/>
        <v>0</v>
      </c>
      <c r="S53" s="366">
        <f t="shared" si="8"/>
        <v>0</v>
      </c>
      <c r="T53" s="366">
        <v>0</v>
      </c>
      <c r="U53" s="370">
        <f t="shared" si="5"/>
        <v>0</v>
      </c>
      <c r="V53" s="370"/>
      <c r="W53" s="372"/>
      <c r="X53" s="370"/>
      <c r="Y53" s="370"/>
      <c r="Z53" s="370"/>
      <c r="AA53" s="370"/>
      <c r="AB53" s="370"/>
      <c r="AC53" s="370"/>
      <c r="AD53" s="370"/>
      <c r="AE53" s="370"/>
      <c r="AF53" s="370"/>
      <c r="AG53" s="370"/>
      <c r="AH53" s="370"/>
      <c r="AI53" s="370"/>
      <c r="AJ53" s="366"/>
      <c r="AK53" s="366"/>
      <c r="AL53" s="360"/>
      <c r="AM53" s="305"/>
      <c r="AN53" s="305"/>
      <c r="AO53" s="305"/>
      <c r="AP53" s="305"/>
      <c r="AQ53" s="305"/>
      <c r="AR53" s="305"/>
      <c r="AS53" s="305"/>
      <c r="AT53" s="305"/>
      <c r="AU53" s="305"/>
      <c r="AV53" s="305"/>
    </row>
    <row r="54" spans="1:48" s="306" customFormat="1" ht="39" hidden="1">
      <c r="A54" s="308" t="s">
        <v>437</v>
      </c>
      <c r="B54" s="304" t="s">
        <v>540</v>
      </c>
      <c r="C54" s="283" t="s">
        <v>797</v>
      </c>
      <c r="D54" s="284"/>
      <c r="E54" s="284"/>
      <c r="F54" s="284"/>
      <c r="G54" s="284"/>
      <c r="H54" s="284"/>
      <c r="I54" s="284"/>
      <c r="J54" s="366">
        <v>1</v>
      </c>
      <c r="K54" s="370">
        <f t="shared" si="6"/>
        <v>0.28368794326241142</v>
      </c>
      <c r="L54" s="371">
        <v>4</v>
      </c>
      <c r="M54" s="371">
        <v>0</v>
      </c>
      <c r="N54" s="366">
        <f t="shared" si="2"/>
        <v>1</v>
      </c>
      <c r="O54" s="370">
        <f t="shared" si="3"/>
        <v>0</v>
      </c>
      <c r="P54" s="370">
        <f t="shared" si="4"/>
        <v>0</v>
      </c>
      <c r="Q54" s="366">
        <f t="shared" si="7"/>
        <v>1</v>
      </c>
      <c r="R54" s="370">
        <f t="shared" si="0"/>
        <v>0</v>
      </c>
      <c r="S54" s="366">
        <f t="shared" si="8"/>
        <v>0</v>
      </c>
      <c r="T54" s="366">
        <v>0</v>
      </c>
      <c r="U54" s="370">
        <f t="shared" si="5"/>
        <v>0</v>
      </c>
      <c r="V54" s="370"/>
      <c r="W54" s="372"/>
      <c r="X54" s="370"/>
      <c r="Y54" s="370"/>
      <c r="Z54" s="370"/>
      <c r="AA54" s="370"/>
      <c r="AB54" s="370"/>
      <c r="AC54" s="370"/>
      <c r="AD54" s="370"/>
      <c r="AE54" s="370"/>
      <c r="AF54" s="370"/>
      <c r="AG54" s="370"/>
      <c r="AH54" s="370"/>
      <c r="AI54" s="370"/>
      <c r="AJ54" s="366"/>
      <c r="AK54" s="366"/>
      <c r="AL54" s="360"/>
      <c r="AM54" s="305" t="s">
        <v>823</v>
      </c>
      <c r="AN54" s="305"/>
      <c r="AO54" s="305"/>
      <c r="AP54" s="305"/>
      <c r="AQ54" s="305"/>
      <c r="AR54" s="305"/>
      <c r="AS54" s="305"/>
      <c r="AT54" s="305"/>
      <c r="AU54" s="305"/>
      <c r="AV54" s="305"/>
    </row>
    <row r="55" spans="1:48" s="306" customFormat="1" ht="39" hidden="1">
      <c r="A55" s="308" t="s">
        <v>438</v>
      </c>
      <c r="B55" s="304" t="s">
        <v>625</v>
      </c>
      <c r="C55" s="283" t="s">
        <v>794</v>
      </c>
      <c r="D55" s="284"/>
      <c r="E55" s="284"/>
      <c r="F55" s="284"/>
      <c r="G55" s="284"/>
      <c r="H55" s="284"/>
      <c r="I55" s="284"/>
      <c r="J55" s="366">
        <v>1</v>
      </c>
      <c r="K55" s="370">
        <f t="shared" si="6"/>
        <v>0.28368794326241142</v>
      </c>
      <c r="L55" s="371">
        <v>4</v>
      </c>
      <c r="M55" s="371"/>
      <c r="N55" s="366">
        <f t="shared" si="2"/>
        <v>1</v>
      </c>
      <c r="O55" s="370">
        <f t="shared" si="3"/>
        <v>0</v>
      </c>
      <c r="P55" s="370">
        <f t="shared" si="4"/>
        <v>0</v>
      </c>
      <c r="Q55" s="366">
        <f t="shared" si="7"/>
        <v>1</v>
      </c>
      <c r="R55" s="370">
        <f t="shared" si="0"/>
        <v>0</v>
      </c>
      <c r="S55" s="366">
        <f t="shared" si="8"/>
        <v>0</v>
      </c>
      <c r="T55" s="366">
        <v>0</v>
      </c>
      <c r="U55" s="370">
        <f t="shared" si="5"/>
        <v>0</v>
      </c>
      <c r="V55" s="370"/>
      <c r="W55" s="372"/>
      <c r="X55" s="370"/>
      <c r="Y55" s="370"/>
      <c r="Z55" s="370"/>
      <c r="AA55" s="370"/>
      <c r="AB55" s="370"/>
      <c r="AC55" s="370"/>
      <c r="AD55" s="370"/>
      <c r="AE55" s="370"/>
      <c r="AF55" s="370"/>
      <c r="AG55" s="370"/>
      <c r="AH55" s="370"/>
      <c r="AI55" s="370"/>
      <c r="AJ55" s="366"/>
      <c r="AK55" s="366"/>
      <c r="AL55" s="360"/>
      <c r="AM55" s="305"/>
      <c r="AN55" s="305"/>
      <c r="AO55" s="305"/>
      <c r="AP55" s="305"/>
      <c r="AQ55" s="305"/>
      <c r="AR55" s="305"/>
      <c r="AS55" s="305"/>
      <c r="AT55" s="305"/>
      <c r="AU55" s="305"/>
      <c r="AV55" s="305"/>
    </row>
    <row r="56" spans="1:48" s="306" customFormat="1" ht="39" hidden="1">
      <c r="A56" s="308" t="s">
        <v>440</v>
      </c>
      <c r="B56" s="304" t="s">
        <v>540</v>
      </c>
      <c r="C56" s="283" t="s">
        <v>797</v>
      </c>
      <c r="D56" s="284"/>
      <c r="E56" s="284"/>
      <c r="F56" s="284"/>
      <c r="G56" s="284"/>
      <c r="H56" s="284"/>
      <c r="I56" s="284"/>
      <c r="J56" s="366">
        <v>1</v>
      </c>
      <c r="K56" s="370">
        <f t="shared" si="6"/>
        <v>0.28368794326241142</v>
      </c>
      <c r="L56" s="371">
        <v>4</v>
      </c>
      <c r="M56" s="371">
        <v>0</v>
      </c>
      <c r="N56" s="366">
        <f t="shared" si="2"/>
        <v>1</v>
      </c>
      <c r="O56" s="370">
        <f t="shared" si="3"/>
        <v>0</v>
      </c>
      <c r="P56" s="370">
        <f t="shared" si="4"/>
        <v>0</v>
      </c>
      <c r="Q56" s="366">
        <f t="shared" si="7"/>
        <v>1</v>
      </c>
      <c r="R56" s="370">
        <f t="shared" si="0"/>
        <v>0</v>
      </c>
      <c r="S56" s="366">
        <f t="shared" si="8"/>
        <v>0</v>
      </c>
      <c r="T56" s="366">
        <v>0</v>
      </c>
      <c r="U56" s="370">
        <f t="shared" si="5"/>
        <v>0</v>
      </c>
      <c r="V56" s="370"/>
      <c r="W56" s="372"/>
      <c r="X56" s="370"/>
      <c r="Y56" s="370"/>
      <c r="Z56" s="370"/>
      <c r="AA56" s="370"/>
      <c r="AB56" s="370"/>
      <c r="AC56" s="370"/>
      <c r="AD56" s="370"/>
      <c r="AE56" s="370"/>
      <c r="AF56" s="370"/>
      <c r="AG56" s="370"/>
      <c r="AH56" s="370"/>
      <c r="AI56" s="370"/>
      <c r="AJ56" s="366"/>
      <c r="AK56" s="366"/>
      <c r="AL56" s="360"/>
      <c r="AM56" s="305" t="s">
        <v>823</v>
      </c>
      <c r="AN56" s="305"/>
      <c r="AO56" s="305"/>
      <c r="AP56" s="305"/>
      <c r="AQ56" s="305"/>
      <c r="AR56" s="305"/>
      <c r="AS56" s="305"/>
      <c r="AT56" s="305"/>
      <c r="AU56" s="305"/>
      <c r="AV56" s="305"/>
    </row>
    <row r="57" spans="1:48" s="306" customFormat="1" ht="39" hidden="1">
      <c r="A57" s="308" t="s">
        <v>441</v>
      </c>
      <c r="B57" s="304" t="s">
        <v>626</v>
      </c>
      <c r="C57" s="283" t="s">
        <v>794</v>
      </c>
      <c r="D57" s="284"/>
      <c r="E57" s="284"/>
      <c r="F57" s="284"/>
      <c r="G57" s="284"/>
      <c r="H57" s="284"/>
      <c r="I57" s="284"/>
      <c r="J57" s="366">
        <v>1</v>
      </c>
      <c r="K57" s="370">
        <f t="shared" si="6"/>
        <v>0.28368794326241142</v>
      </c>
      <c r="L57" s="371">
        <v>4</v>
      </c>
      <c r="M57" s="371"/>
      <c r="N57" s="366">
        <f t="shared" si="2"/>
        <v>1</v>
      </c>
      <c r="O57" s="370">
        <f t="shared" si="3"/>
        <v>0</v>
      </c>
      <c r="P57" s="370">
        <f t="shared" si="4"/>
        <v>0</v>
      </c>
      <c r="Q57" s="366">
        <f t="shared" si="7"/>
        <v>1</v>
      </c>
      <c r="R57" s="370">
        <f t="shared" si="0"/>
        <v>0</v>
      </c>
      <c r="S57" s="366">
        <f t="shared" si="8"/>
        <v>0</v>
      </c>
      <c r="T57" s="366">
        <v>0</v>
      </c>
      <c r="U57" s="370">
        <f t="shared" si="5"/>
        <v>0</v>
      </c>
      <c r="V57" s="370"/>
      <c r="W57" s="372"/>
      <c r="X57" s="370"/>
      <c r="Y57" s="370"/>
      <c r="Z57" s="370"/>
      <c r="AA57" s="370"/>
      <c r="AB57" s="370"/>
      <c r="AC57" s="370"/>
      <c r="AD57" s="370"/>
      <c r="AE57" s="370"/>
      <c r="AF57" s="370"/>
      <c r="AG57" s="370"/>
      <c r="AH57" s="370"/>
      <c r="AI57" s="370"/>
      <c r="AJ57" s="366"/>
      <c r="AK57" s="366"/>
      <c r="AL57" s="360"/>
      <c r="AM57" s="305"/>
      <c r="AN57" s="305"/>
      <c r="AO57" s="305"/>
      <c r="AP57" s="305"/>
      <c r="AQ57" s="305"/>
      <c r="AR57" s="305"/>
      <c r="AS57" s="305"/>
      <c r="AT57" s="305"/>
      <c r="AU57" s="305"/>
      <c r="AV57" s="305"/>
    </row>
    <row r="58" spans="1:48" s="306" customFormat="1" ht="39" hidden="1">
      <c r="A58" s="308" t="s">
        <v>443</v>
      </c>
      <c r="B58" s="304" t="s">
        <v>540</v>
      </c>
      <c r="C58" s="283" t="s">
        <v>797</v>
      </c>
      <c r="D58" s="284"/>
      <c r="E58" s="284"/>
      <c r="F58" s="284"/>
      <c r="G58" s="284"/>
      <c r="H58" s="284"/>
      <c r="I58" s="284"/>
      <c r="J58" s="366">
        <v>1</v>
      </c>
      <c r="K58" s="370">
        <f t="shared" si="6"/>
        <v>0.28368794326241142</v>
      </c>
      <c r="L58" s="371">
        <v>4</v>
      </c>
      <c r="M58" s="371">
        <v>0</v>
      </c>
      <c r="N58" s="366">
        <f t="shared" si="2"/>
        <v>1</v>
      </c>
      <c r="O58" s="370">
        <f t="shared" si="3"/>
        <v>0</v>
      </c>
      <c r="P58" s="370">
        <f t="shared" si="4"/>
        <v>0</v>
      </c>
      <c r="Q58" s="366">
        <f t="shared" si="7"/>
        <v>1</v>
      </c>
      <c r="R58" s="370">
        <f t="shared" si="0"/>
        <v>0</v>
      </c>
      <c r="S58" s="366">
        <f t="shared" si="8"/>
        <v>0</v>
      </c>
      <c r="T58" s="366">
        <v>0</v>
      </c>
      <c r="U58" s="370">
        <f t="shared" si="5"/>
        <v>0</v>
      </c>
      <c r="V58" s="370"/>
      <c r="W58" s="372"/>
      <c r="X58" s="370"/>
      <c r="Y58" s="370"/>
      <c r="Z58" s="370"/>
      <c r="AA58" s="370"/>
      <c r="AB58" s="370"/>
      <c r="AC58" s="370"/>
      <c r="AD58" s="370"/>
      <c r="AE58" s="370"/>
      <c r="AF58" s="370"/>
      <c r="AG58" s="370"/>
      <c r="AH58" s="370"/>
      <c r="AI58" s="370"/>
      <c r="AJ58" s="366"/>
      <c r="AK58" s="366"/>
      <c r="AL58" s="360"/>
      <c r="AM58" s="305" t="s">
        <v>823</v>
      </c>
      <c r="AN58" s="305"/>
      <c r="AO58" s="305"/>
      <c r="AP58" s="305"/>
      <c r="AQ58" s="305"/>
      <c r="AR58" s="305"/>
      <c r="AS58" s="305"/>
      <c r="AT58" s="305"/>
      <c r="AU58" s="305"/>
      <c r="AV58" s="305"/>
    </row>
    <row r="59" spans="1:48" s="306" customFormat="1" ht="39" hidden="1">
      <c r="A59" s="308" t="s">
        <v>444</v>
      </c>
      <c r="B59" s="304" t="s">
        <v>809</v>
      </c>
      <c r="C59" s="283" t="s">
        <v>794</v>
      </c>
      <c r="D59" s="284"/>
      <c r="E59" s="284"/>
      <c r="F59" s="284"/>
      <c r="G59" s="284"/>
      <c r="H59" s="284"/>
      <c r="I59" s="284"/>
      <c r="J59" s="366">
        <v>82.6</v>
      </c>
      <c r="K59" s="370">
        <f t="shared" si="6"/>
        <v>1.3475177304964541</v>
      </c>
      <c r="L59" s="371">
        <v>19</v>
      </c>
      <c r="M59" s="371"/>
      <c r="N59" s="366">
        <f t="shared" si="2"/>
        <v>82.6</v>
      </c>
      <c r="O59" s="370">
        <f t="shared" si="3"/>
        <v>0</v>
      </c>
      <c r="P59" s="370">
        <f t="shared" si="4"/>
        <v>0</v>
      </c>
      <c r="Q59" s="366">
        <f t="shared" si="7"/>
        <v>82.6</v>
      </c>
      <c r="R59" s="370">
        <f t="shared" si="0"/>
        <v>0</v>
      </c>
      <c r="S59" s="366">
        <f t="shared" si="8"/>
        <v>0</v>
      </c>
      <c r="T59" s="366">
        <v>0</v>
      </c>
      <c r="U59" s="370">
        <f t="shared" si="5"/>
        <v>0</v>
      </c>
      <c r="V59" s="370"/>
      <c r="W59" s="372"/>
      <c r="X59" s="370"/>
      <c r="Y59" s="370"/>
      <c r="Z59" s="370"/>
      <c r="AA59" s="370"/>
      <c r="AB59" s="370"/>
      <c r="AC59" s="370"/>
      <c r="AD59" s="370"/>
      <c r="AE59" s="370"/>
      <c r="AF59" s="370"/>
      <c r="AG59" s="370"/>
      <c r="AH59" s="370"/>
      <c r="AI59" s="370"/>
      <c r="AJ59" s="366"/>
      <c r="AK59" s="366"/>
      <c r="AL59" s="360"/>
      <c r="AM59" s="305"/>
      <c r="AN59" s="305"/>
      <c r="AO59" s="305"/>
      <c r="AP59" s="305"/>
      <c r="AQ59" s="305"/>
      <c r="AR59" s="305"/>
      <c r="AS59" s="305"/>
      <c r="AT59" s="305"/>
      <c r="AU59" s="305"/>
      <c r="AV59" s="305"/>
    </row>
    <row r="60" spans="1:48" s="306" customFormat="1" ht="39" hidden="1">
      <c r="A60" s="308" t="s">
        <v>446</v>
      </c>
      <c r="B60" s="304" t="s">
        <v>540</v>
      </c>
      <c r="C60" s="283" t="s">
        <v>797</v>
      </c>
      <c r="D60" s="284"/>
      <c r="E60" s="284"/>
      <c r="F60" s="284"/>
      <c r="G60" s="284"/>
      <c r="H60" s="284"/>
      <c r="I60" s="284"/>
      <c r="J60" s="366">
        <v>82.6</v>
      </c>
      <c r="K60" s="370">
        <f t="shared" si="6"/>
        <v>1.3475177304964541</v>
      </c>
      <c r="L60" s="371">
        <v>19</v>
      </c>
      <c r="M60" s="371">
        <v>18.5</v>
      </c>
      <c r="N60" s="366">
        <f t="shared" si="2"/>
        <v>82.6</v>
      </c>
      <c r="O60" s="370">
        <f t="shared" si="3"/>
        <v>2.6241134751773054</v>
      </c>
      <c r="P60" s="370">
        <f t="shared" si="4"/>
        <v>18.5</v>
      </c>
      <c r="Q60" s="366">
        <f t="shared" si="7"/>
        <v>82.6</v>
      </c>
      <c r="R60" s="370">
        <f t="shared" si="0"/>
        <v>2.6241134751773054</v>
      </c>
      <c r="S60" s="366">
        <f t="shared" si="8"/>
        <v>100</v>
      </c>
      <c r="T60" s="366">
        <v>14.57</v>
      </c>
      <c r="U60" s="370">
        <f t="shared" si="5"/>
        <v>78.756756756756758</v>
      </c>
      <c r="V60" s="370"/>
      <c r="W60" s="372"/>
      <c r="X60" s="370"/>
      <c r="Y60" s="370"/>
      <c r="Z60" s="370"/>
      <c r="AA60" s="370"/>
      <c r="AB60" s="370"/>
      <c r="AC60" s="370"/>
      <c r="AD60" s="370"/>
      <c r="AE60" s="370"/>
      <c r="AF60" s="370"/>
      <c r="AG60" s="370"/>
      <c r="AH60" s="370"/>
      <c r="AI60" s="370"/>
      <c r="AJ60" s="366"/>
      <c r="AK60" s="366"/>
      <c r="AL60" s="360"/>
      <c r="AM60" s="305" t="s">
        <v>820</v>
      </c>
      <c r="AN60" s="305"/>
      <c r="AO60" s="305"/>
      <c r="AP60" s="305"/>
      <c r="AQ60" s="305"/>
      <c r="AR60" s="305"/>
      <c r="AS60" s="305"/>
      <c r="AT60" s="305"/>
      <c r="AU60" s="305"/>
      <c r="AV60" s="305"/>
    </row>
    <row r="61" spans="1:48" s="306" customFormat="1" ht="39" hidden="1">
      <c r="A61" s="308" t="s">
        <v>447</v>
      </c>
      <c r="B61" s="304" t="s">
        <v>628</v>
      </c>
      <c r="C61" s="283" t="s">
        <v>794</v>
      </c>
      <c r="D61" s="284"/>
      <c r="E61" s="284"/>
      <c r="F61" s="284"/>
      <c r="G61" s="284"/>
      <c r="H61" s="284"/>
      <c r="I61" s="284"/>
      <c r="J61" s="366">
        <v>1</v>
      </c>
      <c r="K61" s="370">
        <f t="shared" si="6"/>
        <v>0.42553191489361714</v>
      </c>
      <c r="L61" s="371">
        <v>6</v>
      </c>
      <c r="M61" s="371"/>
      <c r="N61" s="366">
        <f t="shared" si="2"/>
        <v>1</v>
      </c>
      <c r="O61" s="370">
        <f t="shared" si="3"/>
        <v>0</v>
      </c>
      <c r="P61" s="370">
        <f t="shared" si="4"/>
        <v>0</v>
      </c>
      <c r="Q61" s="366">
        <f t="shared" si="7"/>
        <v>1</v>
      </c>
      <c r="R61" s="370">
        <f t="shared" si="0"/>
        <v>0</v>
      </c>
      <c r="S61" s="366">
        <f t="shared" si="8"/>
        <v>0</v>
      </c>
      <c r="T61" s="366">
        <v>0</v>
      </c>
      <c r="U61" s="370">
        <f t="shared" si="5"/>
        <v>0</v>
      </c>
      <c r="V61" s="370"/>
      <c r="W61" s="372"/>
      <c r="X61" s="370"/>
      <c r="Y61" s="370"/>
      <c r="Z61" s="370"/>
      <c r="AA61" s="370"/>
      <c r="AB61" s="370"/>
      <c r="AC61" s="370"/>
      <c r="AD61" s="370"/>
      <c r="AE61" s="370"/>
      <c r="AF61" s="370"/>
      <c r="AG61" s="370"/>
      <c r="AH61" s="370"/>
      <c r="AI61" s="370"/>
      <c r="AJ61" s="366"/>
      <c r="AK61" s="366"/>
      <c r="AL61" s="360"/>
      <c r="AM61" s="305"/>
      <c r="AN61" s="305"/>
      <c r="AO61" s="305"/>
      <c r="AP61" s="305"/>
      <c r="AQ61" s="305"/>
      <c r="AR61" s="305"/>
      <c r="AS61" s="305"/>
      <c r="AT61" s="305"/>
      <c r="AU61" s="305"/>
      <c r="AV61" s="305"/>
    </row>
    <row r="62" spans="1:48" s="306" customFormat="1" ht="39" hidden="1">
      <c r="A62" s="308" t="s">
        <v>449</v>
      </c>
      <c r="B62" s="304" t="s">
        <v>540</v>
      </c>
      <c r="C62" s="283" t="s">
        <v>797</v>
      </c>
      <c r="D62" s="284"/>
      <c r="E62" s="284"/>
      <c r="F62" s="284"/>
      <c r="G62" s="284"/>
      <c r="H62" s="284"/>
      <c r="I62" s="284"/>
      <c r="J62" s="366">
        <v>1</v>
      </c>
      <c r="K62" s="370">
        <f t="shared" si="6"/>
        <v>0.42553191489361714</v>
      </c>
      <c r="L62" s="371">
        <v>6</v>
      </c>
      <c r="M62" s="371">
        <v>0</v>
      </c>
      <c r="N62" s="366">
        <f t="shared" si="2"/>
        <v>1</v>
      </c>
      <c r="O62" s="370">
        <f t="shared" si="3"/>
        <v>0</v>
      </c>
      <c r="P62" s="370">
        <f t="shared" si="4"/>
        <v>0</v>
      </c>
      <c r="Q62" s="366">
        <f t="shared" si="7"/>
        <v>1</v>
      </c>
      <c r="R62" s="370">
        <f t="shared" si="0"/>
        <v>0</v>
      </c>
      <c r="S62" s="366">
        <f t="shared" si="8"/>
        <v>0</v>
      </c>
      <c r="T62" s="366">
        <v>0</v>
      </c>
      <c r="U62" s="370">
        <f t="shared" si="5"/>
        <v>0</v>
      </c>
      <c r="V62" s="370"/>
      <c r="W62" s="372"/>
      <c r="X62" s="370"/>
      <c r="Y62" s="370"/>
      <c r="Z62" s="370"/>
      <c r="AA62" s="370"/>
      <c r="AB62" s="370"/>
      <c r="AC62" s="370"/>
      <c r="AD62" s="370"/>
      <c r="AE62" s="370"/>
      <c r="AF62" s="370"/>
      <c r="AG62" s="370"/>
      <c r="AH62" s="370"/>
      <c r="AI62" s="370"/>
      <c r="AJ62" s="366"/>
      <c r="AK62" s="366"/>
      <c r="AL62" s="360"/>
      <c r="AM62" s="305" t="s">
        <v>820</v>
      </c>
      <c r="AN62" s="305"/>
      <c r="AO62" s="305"/>
      <c r="AP62" s="305"/>
      <c r="AQ62" s="305"/>
      <c r="AR62" s="305"/>
      <c r="AS62" s="305"/>
      <c r="AT62" s="305"/>
      <c r="AU62" s="305"/>
      <c r="AV62" s="305"/>
    </row>
    <row r="63" spans="1:48" s="306" customFormat="1" ht="58.5" hidden="1">
      <c r="A63" s="308" t="s">
        <v>255</v>
      </c>
      <c r="B63" s="297" t="s">
        <v>629</v>
      </c>
      <c r="C63" s="283" t="s">
        <v>794</v>
      </c>
      <c r="D63" s="284"/>
      <c r="E63" s="284"/>
      <c r="F63" s="284"/>
      <c r="G63" s="284"/>
      <c r="H63" s="284"/>
      <c r="I63" s="284"/>
      <c r="J63" s="366">
        <v>26.03</v>
      </c>
      <c r="K63" s="370">
        <f t="shared" si="6"/>
        <v>5.3900709219858163</v>
      </c>
      <c r="L63" s="371">
        <v>76</v>
      </c>
      <c r="M63" s="371"/>
      <c r="N63" s="366">
        <f t="shared" si="2"/>
        <v>26.03</v>
      </c>
      <c r="O63" s="370">
        <f t="shared" si="3"/>
        <v>0</v>
      </c>
      <c r="P63" s="370">
        <f t="shared" si="4"/>
        <v>0</v>
      </c>
      <c r="Q63" s="366">
        <f t="shared" si="7"/>
        <v>26.03</v>
      </c>
      <c r="R63" s="370">
        <f t="shared" si="0"/>
        <v>0</v>
      </c>
      <c r="S63" s="366">
        <f t="shared" si="8"/>
        <v>0</v>
      </c>
      <c r="T63" s="366">
        <v>0</v>
      </c>
      <c r="U63" s="370">
        <f t="shared" si="5"/>
        <v>0</v>
      </c>
      <c r="V63" s="370"/>
      <c r="W63" s="372"/>
      <c r="X63" s="370"/>
      <c r="Y63" s="370"/>
      <c r="Z63" s="370"/>
      <c r="AA63" s="370"/>
      <c r="AB63" s="370"/>
      <c r="AC63" s="370"/>
      <c r="AD63" s="370"/>
      <c r="AE63" s="370"/>
      <c r="AF63" s="370"/>
      <c r="AG63" s="370"/>
      <c r="AH63" s="370"/>
      <c r="AI63" s="370"/>
      <c r="AJ63" s="366"/>
      <c r="AK63" s="366"/>
      <c r="AL63" s="360"/>
      <c r="AM63" s="305"/>
      <c r="AN63" s="305"/>
      <c r="AO63" s="305"/>
      <c r="AP63" s="305"/>
      <c r="AQ63" s="305"/>
      <c r="AR63" s="305"/>
      <c r="AS63" s="305"/>
      <c r="AT63" s="305"/>
      <c r="AU63" s="305"/>
      <c r="AV63" s="305"/>
    </row>
    <row r="64" spans="1:48" s="306" customFormat="1" ht="39" hidden="1">
      <c r="A64" s="308" t="s">
        <v>257</v>
      </c>
      <c r="B64" s="304" t="s">
        <v>561</v>
      </c>
      <c r="C64" s="283" t="s">
        <v>797</v>
      </c>
      <c r="D64" s="284"/>
      <c r="E64" s="284"/>
      <c r="F64" s="284"/>
      <c r="G64" s="284"/>
      <c r="H64" s="284"/>
      <c r="I64" s="284"/>
      <c r="J64" s="366">
        <v>26.03</v>
      </c>
      <c r="K64" s="370">
        <f t="shared" si="6"/>
        <v>5.3900709219858163</v>
      </c>
      <c r="L64" s="371">
        <v>76</v>
      </c>
      <c r="M64" s="371">
        <v>47</v>
      </c>
      <c r="N64" s="366">
        <f t="shared" si="2"/>
        <v>26.03</v>
      </c>
      <c r="O64" s="370">
        <f t="shared" si="3"/>
        <v>6.6666666666666679</v>
      </c>
      <c r="P64" s="370">
        <f t="shared" si="4"/>
        <v>47</v>
      </c>
      <c r="Q64" s="366">
        <f t="shared" si="7"/>
        <v>26.03</v>
      </c>
      <c r="R64" s="370">
        <f t="shared" si="0"/>
        <v>6.6666666666666679</v>
      </c>
      <c r="S64" s="366">
        <f t="shared" si="8"/>
        <v>100</v>
      </c>
      <c r="T64" s="366">
        <v>46.99</v>
      </c>
      <c r="U64" s="370">
        <f t="shared" si="5"/>
        <v>99.978723404255319</v>
      </c>
      <c r="V64" s="370"/>
      <c r="W64" s="372"/>
      <c r="X64" s="370"/>
      <c r="Y64" s="370"/>
      <c r="Z64" s="370"/>
      <c r="AA64" s="370"/>
      <c r="AB64" s="370"/>
      <c r="AC64" s="370"/>
      <c r="AD64" s="370"/>
      <c r="AE64" s="370"/>
      <c r="AF64" s="370"/>
      <c r="AG64" s="370"/>
      <c r="AH64" s="370"/>
      <c r="AI64" s="370"/>
      <c r="AJ64" s="366"/>
      <c r="AK64" s="366"/>
      <c r="AL64" s="360"/>
      <c r="AM64" s="305" t="s">
        <v>823</v>
      </c>
      <c r="AN64" s="305"/>
      <c r="AO64" s="305"/>
      <c r="AP64" s="305"/>
      <c r="AQ64" s="305"/>
      <c r="AR64" s="305"/>
      <c r="AS64" s="305"/>
      <c r="AT64" s="305"/>
      <c r="AU64" s="305"/>
      <c r="AV64" s="305"/>
    </row>
    <row r="65" spans="1:48" s="306" customFormat="1" ht="40.5" hidden="1">
      <c r="A65" s="308" t="s">
        <v>260</v>
      </c>
      <c r="B65" s="353" t="s">
        <v>673</v>
      </c>
      <c r="C65" s="283" t="s">
        <v>794</v>
      </c>
      <c r="D65" s="284"/>
      <c r="E65" s="284"/>
      <c r="F65" s="284"/>
      <c r="G65" s="284"/>
      <c r="H65" s="284"/>
      <c r="I65" s="284"/>
      <c r="J65" s="366">
        <v>1.5</v>
      </c>
      <c r="K65" s="370">
        <f t="shared" si="6"/>
        <v>1.9148936170212769</v>
      </c>
      <c r="L65" s="371">
        <v>27</v>
      </c>
      <c r="M65" s="371"/>
      <c r="N65" s="366">
        <f t="shared" si="2"/>
        <v>1.5</v>
      </c>
      <c r="O65" s="370">
        <f t="shared" si="3"/>
        <v>0</v>
      </c>
      <c r="P65" s="370">
        <f t="shared" si="4"/>
        <v>0</v>
      </c>
      <c r="Q65" s="366">
        <f t="shared" si="7"/>
        <v>1.5</v>
      </c>
      <c r="R65" s="370">
        <f t="shared" si="0"/>
        <v>0</v>
      </c>
      <c r="S65" s="366">
        <f t="shared" si="8"/>
        <v>0</v>
      </c>
      <c r="T65" s="366">
        <v>0</v>
      </c>
      <c r="U65" s="370">
        <f t="shared" si="5"/>
        <v>0</v>
      </c>
      <c r="V65" s="370"/>
      <c r="W65" s="372"/>
      <c r="X65" s="370"/>
      <c r="Y65" s="370"/>
      <c r="Z65" s="370"/>
      <c r="AA65" s="370"/>
      <c r="AB65" s="370"/>
      <c r="AC65" s="370"/>
      <c r="AD65" s="370"/>
      <c r="AE65" s="370"/>
      <c r="AF65" s="370"/>
      <c r="AG65" s="370"/>
      <c r="AH65" s="370"/>
      <c r="AI65" s="370"/>
      <c r="AJ65" s="366"/>
      <c r="AK65" s="366"/>
      <c r="AL65" s="360"/>
      <c r="AM65" s="305"/>
      <c r="AN65" s="305"/>
      <c r="AO65" s="305"/>
      <c r="AP65" s="305"/>
      <c r="AQ65" s="305"/>
      <c r="AR65" s="305"/>
      <c r="AS65" s="305"/>
      <c r="AT65" s="305"/>
      <c r="AU65" s="305"/>
      <c r="AV65" s="305"/>
    </row>
    <row r="66" spans="1:48" s="306" customFormat="1" ht="39" hidden="1">
      <c r="A66" s="308" t="s">
        <v>262</v>
      </c>
      <c r="B66" s="304" t="s">
        <v>561</v>
      </c>
      <c r="C66" s="283" t="s">
        <v>797</v>
      </c>
      <c r="D66" s="284"/>
      <c r="E66" s="284"/>
      <c r="F66" s="284"/>
      <c r="G66" s="284"/>
      <c r="H66" s="284"/>
      <c r="I66" s="284"/>
      <c r="J66" s="366">
        <v>1.5</v>
      </c>
      <c r="K66" s="370">
        <f t="shared" si="6"/>
        <v>1.9148936170212769</v>
      </c>
      <c r="L66" s="371">
        <v>27</v>
      </c>
      <c r="M66" s="371">
        <v>26.65</v>
      </c>
      <c r="N66" s="366">
        <f t="shared" si="2"/>
        <v>1.5</v>
      </c>
      <c r="O66" s="370">
        <f t="shared" si="3"/>
        <v>3.7801418439716317</v>
      </c>
      <c r="P66" s="370">
        <f t="shared" si="4"/>
        <v>26.65</v>
      </c>
      <c r="Q66" s="366">
        <f t="shared" si="7"/>
        <v>1.5</v>
      </c>
      <c r="R66" s="370">
        <f t="shared" si="0"/>
        <v>3.7801418439716317</v>
      </c>
      <c r="S66" s="366">
        <f t="shared" si="8"/>
        <v>100</v>
      </c>
      <c r="T66" s="366">
        <v>26.6</v>
      </c>
      <c r="U66" s="370">
        <f t="shared" si="5"/>
        <v>99.812382739212012</v>
      </c>
      <c r="V66" s="370"/>
      <c r="W66" s="372"/>
      <c r="X66" s="370"/>
      <c r="Y66" s="370"/>
      <c r="Z66" s="370"/>
      <c r="AA66" s="370"/>
      <c r="AB66" s="370"/>
      <c r="AC66" s="370"/>
      <c r="AD66" s="370"/>
      <c r="AE66" s="370"/>
      <c r="AF66" s="370"/>
      <c r="AG66" s="370"/>
      <c r="AH66" s="370"/>
      <c r="AI66" s="370"/>
      <c r="AJ66" s="366"/>
      <c r="AK66" s="366"/>
      <c r="AL66" s="360"/>
      <c r="AM66" s="305" t="s">
        <v>823</v>
      </c>
      <c r="AN66" s="305"/>
      <c r="AO66" s="305"/>
      <c r="AP66" s="305"/>
      <c r="AQ66" s="305"/>
      <c r="AR66" s="305"/>
      <c r="AS66" s="305"/>
      <c r="AT66" s="305"/>
      <c r="AU66" s="305"/>
      <c r="AV66" s="305"/>
    </row>
    <row r="67" spans="1:48" s="306" customFormat="1" ht="40.5" hidden="1">
      <c r="A67" s="308" t="s">
        <v>263</v>
      </c>
      <c r="B67" s="353" t="s">
        <v>674</v>
      </c>
      <c r="C67" s="283" t="s">
        <v>797</v>
      </c>
      <c r="D67" s="284"/>
      <c r="E67" s="284"/>
      <c r="F67" s="284"/>
      <c r="G67" s="284"/>
      <c r="H67" s="284"/>
      <c r="I67" s="284"/>
      <c r="J67" s="366">
        <v>5</v>
      </c>
      <c r="K67" s="370">
        <f t="shared" si="6"/>
        <v>7.0921985815602856E-2</v>
      </c>
      <c r="L67" s="371">
        <v>1</v>
      </c>
      <c r="M67" s="371">
        <v>0</v>
      </c>
      <c r="N67" s="366">
        <f t="shared" si="2"/>
        <v>5</v>
      </c>
      <c r="O67" s="370">
        <f t="shared" si="3"/>
        <v>0</v>
      </c>
      <c r="P67" s="370">
        <f t="shared" si="4"/>
        <v>0</v>
      </c>
      <c r="Q67" s="366">
        <f t="shared" si="7"/>
        <v>5</v>
      </c>
      <c r="R67" s="370">
        <f t="shared" si="0"/>
        <v>0</v>
      </c>
      <c r="S67" s="366">
        <f t="shared" si="8"/>
        <v>0</v>
      </c>
      <c r="T67" s="366">
        <v>0</v>
      </c>
      <c r="U67" s="370">
        <f t="shared" si="5"/>
        <v>0</v>
      </c>
      <c r="V67" s="370"/>
      <c r="W67" s="372"/>
      <c r="X67" s="370"/>
      <c r="Y67" s="370"/>
      <c r="Z67" s="370"/>
      <c r="AA67" s="370"/>
      <c r="AB67" s="370"/>
      <c r="AC67" s="370"/>
      <c r="AD67" s="370"/>
      <c r="AE67" s="370"/>
      <c r="AF67" s="370"/>
      <c r="AG67" s="370"/>
      <c r="AH67" s="370"/>
      <c r="AI67" s="370"/>
      <c r="AJ67" s="366"/>
      <c r="AK67" s="366"/>
      <c r="AL67" s="360"/>
      <c r="AM67" s="305" t="s">
        <v>823</v>
      </c>
      <c r="AN67" s="305"/>
      <c r="AO67" s="305"/>
      <c r="AP67" s="305"/>
      <c r="AQ67" s="305"/>
      <c r="AR67" s="305"/>
      <c r="AS67" s="305"/>
      <c r="AT67" s="305"/>
      <c r="AU67" s="305"/>
      <c r="AV67" s="305"/>
    </row>
    <row r="68" spans="1:48" s="306" customFormat="1" ht="40.5" hidden="1">
      <c r="A68" s="308" t="s">
        <v>566</v>
      </c>
      <c r="B68" s="353" t="s">
        <v>675</v>
      </c>
      <c r="C68" s="283" t="s">
        <v>797</v>
      </c>
      <c r="D68" s="284"/>
      <c r="E68" s="284"/>
      <c r="F68" s="284"/>
      <c r="G68" s="284"/>
      <c r="H68" s="284"/>
      <c r="I68" s="284"/>
      <c r="J68" s="366">
        <v>0.5</v>
      </c>
      <c r="K68" s="370">
        <f t="shared" si="6"/>
        <v>7.0921985815602856E-2</v>
      </c>
      <c r="L68" s="371">
        <v>1</v>
      </c>
      <c r="M68" s="371">
        <v>0</v>
      </c>
      <c r="N68" s="366">
        <f t="shared" si="2"/>
        <v>0.5</v>
      </c>
      <c r="O68" s="370">
        <f t="shared" si="3"/>
        <v>0</v>
      </c>
      <c r="P68" s="370">
        <f t="shared" si="4"/>
        <v>0</v>
      </c>
      <c r="Q68" s="366">
        <f t="shared" si="7"/>
        <v>0.5</v>
      </c>
      <c r="R68" s="370">
        <f t="shared" si="0"/>
        <v>0</v>
      </c>
      <c r="S68" s="366">
        <f t="shared" si="8"/>
        <v>0</v>
      </c>
      <c r="T68" s="366">
        <v>0</v>
      </c>
      <c r="U68" s="370">
        <f t="shared" si="5"/>
        <v>0</v>
      </c>
      <c r="V68" s="370"/>
      <c r="W68" s="372"/>
      <c r="X68" s="370"/>
      <c r="Y68" s="370"/>
      <c r="Z68" s="370"/>
      <c r="AA68" s="370"/>
      <c r="AB68" s="370"/>
      <c r="AC68" s="370"/>
      <c r="AD68" s="370"/>
      <c r="AE68" s="370"/>
      <c r="AF68" s="370"/>
      <c r="AG68" s="370"/>
      <c r="AH68" s="370"/>
      <c r="AI68" s="370"/>
      <c r="AJ68" s="366"/>
      <c r="AK68" s="366"/>
      <c r="AL68" s="360"/>
      <c r="AM68" s="305" t="s">
        <v>823</v>
      </c>
      <c r="AN68" s="305"/>
      <c r="AO68" s="305"/>
      <c r="AP68" s="305"/>
      <c r="AQ68" s="305"/>
      <c r="AR68" s="305"/>
      <c r="AS68" s="305"/>
      <c r="AT68" s="305"/>
      <c r="AU68" s="305"/>
      <c r="AV68" s="305"/>
    </row>
    <row r="69" spans="1:48" s="306" customFormat="1" ht="60" hidden="1">
      <c r="A69" s="308" t="s">
        <v>271</v>
      </c>
      <c r="B69" s="353" t="s">
        <v>676</v>
      </c>
      <c r="C69" s="283" t="s">
        <v>797</v>
      </c>
      <c r="D69" s="284"/>
      <c r="E69" s="284"/>
      <c r="F69" s="284"/>
      <c r="G69" s="284"/>
      <c r="H69" s="284"/>
      <c r="I69" s="284"/>
      <c r="J69" s="366">
        <v>5</v>
      </c>
      <c r="K69" s="370">
        <f t="shared" si="6"/>
        <v>5.3191489361702136</v>
      </c>
      <c r="L69" s="371">
        <v>75</v>
      </c>
      <c r="M69" s="371">
        <v>0</v>
      </c>
      <c r="N69" s="366">
        <f t="shared" si="2"/>
        <v>5</v>
      </c>
      <c r="O69" s="370">
        <f t="shared" si="3"/>
        <v>0</v>
      </c>
      <c r="P69" s="370">
        <f t="shared" si="4"/>
        <v>0</v>
      </c>
      <c r="Q69" s="366">
        <f t="shared" si="7"/>
        <v>5</v>
      </c>
      <c r="R69" s="370">
        <f t="shared" si="0"/>
        <v>0</v>
      </c>
      <c r="S69" s="366">
        <f t="shared" si="8"/>
        <v>0</v>
      </c>
      <c r="T69" s="366">
        <v>0</v>
      </c>
      <c r="U69" s="370">
        <f t="shared" si="5"/>
        <v>0</v>
      </c>
      <c r="V69" s="370"/>
      <c r="W69" s="372"/>
      <c r="X69" s="370"/>
      <c r="Y69" s="370"/>
      <c r="Z69" s="370"/>
      <c r="AA69" s="370"/>
      <c r="AB69" s="370"/>
      <c r="AC69" s="370"/>
      <c r="AD69" s="370"/>
      <c r="AE69" s="370"/>
      <c r="AF69" s="370"/>
      <c r="AG69" s="370"/>
      <c r="AH69" s="370"/>
      <c r="AI69" s="370"/>
      <c r="AJ69" s="366"/>
      <c r="AK69" s="366"/>
      <c r="AL69" s="360"/>
      <c r="AM69" s="305" t="s">
        <v>823</v>
      </c>
      <c r="AN69" s="305"/>
      <c r="AO69" s="305"/>
      <c r="AP69" s="305"/>
      <c r="AQ69" s="305"/>
      <c r="AR69" s="305"/>
      <c r="AS69" s="305"/>
      <c r="AT69" s="305"/>
      <c r="AU69" s="305"/>
      <c r="AV69" s="305"/>
    </row>
    <row r="70" spans="1:48" s="306" customFormat="1" ht="58.5" hidden="1">
      <c r="A70" s="308" t="s">
        <v>273</v>
      </c>
      <c r="B70" s="354" t="s">
        <v>677</v>
      </c>
      <c r="C70" s="283" t="s">
        <v>797</v>
      </c>
      <c r="D70" s="284"/>
      <c r="E70" s="284"/>
      <c r="F70" s="284"/>
      <c r="G70" s="284"/>
      <c r="H70" s="284"/>
      <c r="I70" s="284"/>
      <c r="J70" s="366">
        <v>1.5</v>
      </c>
      <c r="K70" s="370">
        <f t="shared" si="6"/>
        <v>0.85106382978723427</v>
      </c>
      <c r="L70" s="371">
        <v>12</v>
      </c>
      <c r="M70" s="371">
        <v>0</v>
      </c>
      <c r="N70" s="366">
        <f t="shared" si="2"/>
        <v>1.5</v>
      </c>
      <c r="O70" s="370">
        <f t="shared" si="3"/>
        <v>0</v>
      </c>
      <c r="P70" s="370">
        <f t="shared" si="4"/>
        <v>0</v>
      </c>
      <c r="Q70" s="366">
        <f t="shared" si="7"/>
        <v>1.5</v>
      </c>
      <c r="R70" s="370">
        <f t="shared" si="0"/>
        <v>0</v>
      </c>
      <c r="S70" s="366">
        <f t="shared" si="8"/>
        <v>0</v>
      </c>
      <c r="T70" s="366">
        <v>0</v>
      </c>
      <c r="U70" s="370">
        <f t="shared" si="5"/>
        <v>0</v>
      </c>
      <c r="V70" s="370"/>
      <c r="W70" s="372"/>
      <c r="X70" s="370"/>
      <c r="Y70" s="370"/>
      <c r="Z70" s="370"/>
      <c r="AA70" s="370"/>
      <c r="AB70" s="370"/>
      <c r="AC70" s="370"/>
      <c r="AD70" s="370"/>
      <c r="AE70" s="370"/>
      <c r="AF70" s="370"/>
      <c r="AG70" s="370"/>
      <c r="AH70" s="370"/>
      <c r="AI70" s="370"/>
      <c r="AJ70" s="366"/>
      <c r="AK70" s="366"/>
      <c r="AL70" s="360"/>
      <c r="AM70" s="305" t="s">
        <v>823</v>
      </c>
      <c r="AN70" s="305"/>
      <c r="AO70" s="305"/>
      <c r="AP70" s="305"/>
      <c r="AQ70" s="305"/>
      <c r="AR70" s="305"/>
      <c r="AS70" s="305"/>
      <c r="AT70" s="305"/>
      <c r="AU70" s="305"/>
      <c r="AV70" s="305"/>
    </row>
    <row r="71" spans="1:48" s="306" customFormat="1" ht="60" hidden="1">
      <c r="A71" s="308" t="s">
        <v>678</v>
      </c>
      <c r="B71" s="353" t="s">
        <v>679</v>
      </c>
      <c r="C71" s="283" t="s">
        <v>797</v>
      </c>
      <c r="D71" s="284"/>
      <c r="E71" s="284"/>
      <c r="F71" s="284"/>
      <c r="G71" s="284"/>
      <c r="H71" s="284"/>
      <c r="I71" s="284"/>
      <c r="J71" s="366">
        <v>1</v>
      </c>
      <c r="K71" s="370">
        <f t="shared" si="6"/>
        <v>7.0921985815602856E-2</v>
      </c>
      <c r="L71" s="371">
        <v>1</v>
      </c>
      <c r="M71" s="371">
        <v>0</v>
      </c>
      <c r="N71" s="366">
        <f t="shared" si="2"/>
        <v>1</v>
      </c>
      <c r="O71" s="370">
        <f t="shared" si="3"/>
        <v>0</v>
      </c>
      <c r="P71" s="370">
        <f t="shared" si="4"/>
        <v>0</v>
      </c>
      <c r="Q71" s="366">
        <f t="shared" si="7"/>
        <v>1</v>
      </c>
      <c r="R71" s="370">
        <f t="shared" si="0"/>
        <v>0</v>
      </c>
      <c r="S71" s="366">
        <f t="shared" si="8"/>
        <v>0</v>
      </c>
      <c r="T71" s="366">
        <v>0</v>
      </c>
      <c r="U71" s="370">
        <f t="shared" si="5"/>
        <v>0</v>
      </c>
      <c r="V71" s="370"/>
      <c r="W71" s="372"/>
      <c r="X71" s="370"/>
      <c r="Y71" s="370"/>
      <c r="Z71" s="370"/>
      <c r="AA71" s="370"/>
      <c r="AB71" s="370"/>
      <c r="AC71" s="370"/>
      <c r="AD71" s="370"/>
      <c r="AE71" s="370"/>
      <c r="AF71" s="370"/>
      <c r="AG71" s="370"/>
      <c r="AH71" s="370"/>
      <c r="AI71" s="370"/>
      <c r="AJ71" s="366"/>
      <c r="AK71" s="366"/>
      <c r="AL71" s="360"/>
      <c r="AM71" s="305" t="s">
        <v>823</v>
      </c>
      <c r="AN71" s="305"/>
      <c r="AO71" s="305"/>
      <c r="AP71" s="305"/>
      <c r="AQ71" s="305"/>
      <c r="AR71" s="305"/>
      <c r="AS71" s="305"/>
      <c r="AT71" s="305"/>
      <c r="AU71" s="305"/>
      <c r="AV71" s="305"/>
    </row>
    <row r="72" spans="1:48" s="306" customFormat="1" ht="60" hidden="1">
      <c r="A72" s="308" t="s">
        <v>277</v>
      </c>
      <c r="B72" s="353" t="s">
        <v>680</v>
      </c>
      <c r="C72" s="283" t="s">
        <v>797</v>
      </c>
      <c r="D72" s="284"/>
      <c r="E72" s="284"/>
      <c r="F72" s="284"/>
      <c r="G72" s="284"/>
      <c r="H72" s="284"/>
      <c r="I72" s="284"/>
      <c r="J72" s="366">
        <v>5</v>
      </c>
      <c r="K72" s="370">
        <f t="shared" si="6"/>
        <v>7.0921985815602856E-2</v>
      </c>
      <c r="L72" s="371">
        <v>1</v>
      </c>
      <c r="M72" s="371">
        <v>0</v>
      </c>
      <c r="N72" s="366">
        <f t="shared" si="2"/>
        <v>5</v>
      </c>
      <c r="O72" s="370">
        <f t="shared" si="3"/>
        <v>0</v>
      </c>
      <c r="P72" s="370">
        <f t="shared" si="4"/>
        <v>0</v>
      </c>
      <c r="Q72" s="366">
        <f t="shared" si="7"/>
        <v>5</v>
      </c>
      <c r="R72" s="370">
        <f t="shared" si="0"/>
        <v>0</v>
      </c>
      <c r="S72" s="366">
        <f t="shared" si="8"/>
        <v>0</v>
      </c>
      <c r="T72" s="366">
        <v>0</v>
      </c>
      <c r="U72" s="370">
        <f t="shared" si="5"/>
        <v>0</v>
      </c>
      <c r="V72" s="370"/>
      <c r="W72" s="372"/>
      <c r="X72" s="370"/>
      <c r="Y72" s="370"/>
      <c r="Z72" s="370"/>
      <c r="AA72" s="370"/>
      <c r="AB72" s="370"/>
      <c r="AC72" s="370"/>
      <c r="AD72" s="370"/>
      <c r="AE72" s="370"/>
      <c r="AF72" s="370"/>
      <c r="AG72" s="370"/>
      <c r="AH72" s="370"/>
      <c r="AI72" s="370"/>
      <c r="AJ72" s="366"/>
      <c r="AK72" s="366"/>
      <c r="AL72" s="360"/>
      <c r="AM72" s="305" t="s">
        <v>823</v>
      </c>
      <c r="AN72" s="305"/>
      <c r="AO72" s="305"/>
      <c r="AP72" s="305"/>
      <c r="AQ72" s="305"/>
      <c r="AR72" s="305"/>
      <c r="AS72" s="305"/>
      <c r="AT72" s="305"/>
      <c r="AU72" s="305"/>
      <c r="AV72" s="305"/>
    </row>
    <row r="73" spans="1:48" s="306" customFormat="1" ht="34.9" hidden="1" customHeight="1">
      <c r="A73" s="308" t="s">
        <v>279</v>
      </c>
      <c r="B73" s="364" t="s">
        <v>681</v>
      </c>
      <c r="C73" s="283" t="s">
        <v>797</v>
      </c>
      <c r="D73" s="284"/>
      <c r="E73" s="284"/>
      <c r="F73" s="284"/>
      <c r="G73" s="284"/>
      <c r="H73" s="284"/>
      <c r="I73" s="284"/>
      <c r="J73" s="366">
        <v>24.75</v>
      </c>
      <c r="K73" s="370">
        <f t="shared" si="6"/>
        <v>3.5460992907801421</v>
      </c>
      <c r="L73" s="371">
        <v>50</v>
      </c>
      <c r="M73" s="371">
        <v>25</v>
      </c>
      <c r="N73" s="366">
        <f t="shared" si="2"/>
        <v>24.75</v>
      </c>
      <c r="O73" s="370">
        <f t="shared" si="3"/>
        <v>3.5460992907801421</v>
      </c>
      <c r="P73" s="370">
        <f t="shared" si="4"/>
        <v>25</v>
      </c>
      <c r="Q73" s="366">
        <f t="shared" si="7"/>
        <v>24.75</v>
      </c>
      <c r="R73" s="370">
        <f t="shared" si="0"/>
        <v>3.5460992907801421</v>
      </c>
      <c r="S73" s="366">
        <f t="shared" si="8"/>
        <v>100</v>
      </c>
      <c r="T73" s="366">
        <v>25</v>
      </c>
      <c r="U73" s="370">
        <f t="shared" si="5"/>
        <v>100</v>
      </c>
      <c r="V73" s="370"/>
      <c r="W73" s="372"/>
      <c r="X73" s="370"/>
      <c r="Y73" s="370"/>
      <c r="Z73" s="370"/>
      <c r="AA73" s="370"/>
      <c r="AB73" s="370"/>
      <c r="AC73" s="370"/>
      <c r="AD73" s="370"/>
      <c r="AE73" s="370"/>
      <c r="AF73" s="370"/>
      <c r="AG73" s="370"/>
      <c r="AH73" s="370"/>
      <c r="AI73" s="370"/>
      <c r="AJ73" s="366"/>
      <c r="AK73" s="366"/>
      <c r="AL73" s="360"/>
      <c r="AM73" s="305" t="s">
        <v>823</v>
      </c>
      <c r="AN73" s="305"/>
      <c r="AO73" s="305"/>
      <c r="AP73" s="305"/>
      <c r="AQ73" s="305"/>
      <c r="AR73" s="305"/>
      <c r="AS73" s="305"/>
      <c r="AT73" s="305"/>
      <c r="AU73" s="305"/>
      <c r="AV73" s="305"/>
    </row>
    <row r="74" spans="1:48" s="306" customFormat="1" ht="58.5" hidden="1">
      <c r="A74" s="308" t="s">
        <v>281</v>
      </c>
      <c r="B74" s="354" t="s">
        <v>807</v>
      </c>
      <c r="C74" s="283" t="s">
        <v>797</v>
      </c>
      <c r="D74" s="284"/>
      <c r="E74" s="284"/>
      <c r="F74" s="284"/>
      <c r="G74" s="284"/>
      <c r="H74" s="284"/>
      <c r="I74" s="284"/>
      <c r="J74" s="366">
        <v>3</v>
      </c>
      <c r="K74" s="370">
        <f t="shared" si="6"/>
        <v>0.85106382978723427</v>
      </c>
      <c r="L74" s="371">
        <v>12</v>
      </c>
      <c r="M74" s="371">
        <v>6</v>
      </c>
      <c r="N74" s="366">
        <f t="shared" si="2"/>
        <v>3</v>
      </c>
      <c r="O74" s="370">
        <f t="shared" si="3"/>
        <v>0.85106382978723427</v>
      </c>
      <c r="P74" s="370">
        <f t="shared" si="4"/>
        <v>6</v>
      </c>
      <c r="Q74" s="366">
        <f t="shared" si="7"/>
        <v>3</v>
      </c>
      <c r="R74" s="370">
        <f t="shared" si="0"/>
        <v>0.85106382978723427</v>
      </c>
      <c r="S74" s="366">
        <f t="shared" si="8"/>
        <v>100</v>
      </c>
      <c r="T74" s="366">
        <v>5.74</v>
      </c>
      <c r="U74" s="370">
        <f t="shared" si="5"/>
        <v>95.666666666666671</v>
      </c>
      <c r="V74" s="370"/>
      <c r="W74" s="372"/>
      <c r="X74" s="370"/>
      <c r="Y74" s="370"/>
      <c r="Z74" s="370"/>
      <c r="AA74" s="370"/>
      <c r="AB74" s="370"/>
      <c r="AC74" s="370"/>
      <c r="AD74" s="370"/>
      <c r="AE74" s="370"/>
      <c r="AF74" s="370"/>
      <c r="AG74" s="370"/>
      <c r="AH74" s="370"/>
      <c r="AI74" s="370"/>
      <c r="AJ74" s="366"/>
      <c r="AK74" s="366"/>
      <c r="AL74" s="360"/>
      <c r="AM74" s="305" t="s">
        <v>823</v>
      </c>
      <c r="AN74" s="305"/>
      <c r="AO74" s="305"/>
      <c r="AP74" s="305"/>
      <c r="AQ74" s="305"/>
      <c r="AR74" s="305"/>
      <c r="AS74" s="305"/>
      <c r="AT74" s="305"/>
      <c r="AU74" s="305"/>
      <c r="AV74" s="305"/>
    </row>
    <row r="75" spans="1:48" s="306" customFormat="1" ht="39" hidden="1">
      <c r="A75" s="308" t="s">
        <v>285</v>
      </c>
      <c r="B75" s="354" t="s">
        <v>683</v>
      </c>
      <c r="C75" s="283" t="s">
        <v>797</v>
      </c>
      <c r="D75" s="284"/>
      <c r="E75" s="284"/>
      <c r="F75" s="284"/>
      <c r="G75" s="284"/>
      <c r="H75" s="284"/>
      <c r="I75" s="284"/>
      <c r="J75" s="366">
        <v>2</v>
      </c>
      <c r="K75" s="370">
        <f t="shared" si="6"/>
        <v>0.35460992907801425</v>
      </c>
      <c r="L75" s="371">
        <v>5</v>
      </c>
      <c r="M75" s="371">
        <v>2.5</v>
      </c>
      <c r="N75" s="366">
        <f t="shared" si="2"/>
        <v>2</v>
      </c>
      <c r="O75" s="370">
        <f t="shared" si="3"/>
        <v>0.35460992907801425</v>
      </c>
      <c r="P75" s="370">
        <f t="shared" si="4"/>
        <v>2.5</v>
      </c>
      <c r="Q75" s="366">
        <f t="shared" si="7"/>
        <v>2</v>
      </c>
      <c r="R75" s="370">
        <f t="shared" si="0"/>
        <v>0.35460992907801425</v>
      </c>
      <c r="S75" s="366">
        <f t="shared" si="8"/>
        <v>100</v>
      </c>
      <c r="T75" s="366">
        <v>2.48</v>
      </c>
      <c r="U75" s="370">
        <f t="shared" si="5"/>
        <v>99.2</v>
      </c>
      <c r="V75" s="370"/>
      <c r="W75" s="372"/>
      <c r="X75" s="370"/>
      <c r="Y75" s="370"/>
      <c r="Z75" s="370"/>
      <c r="AA75" s="370"/>
      <c r="AB75" s="370"/>
      <c r="AC75" s="370"/>
      <c r="AD75" s="370"/>
      <c r="AE75" s="370"/>
      <c r="AF75" s="370"/>
      <c r="AG75" s="370"/>
      <c r="AH75" s="370"/>
      <c r="AI75" s="370"/>
      <c r="AJ75" s="366"/>
      <c r="AK75" s="366"/>
      <c r="AL75" s="360"/>
      <c r="AM75" s="305" t="s">
        <v>823</v>
      </c>
      <c r="AN75" s="305"/>
      <c r="AO75" s="305"/>
      <c r="AP75" s="305"/>
      <c r="AQ75" s="305"/>
      <c r="AR75" s="305"/>
      <c r="AS75" s="305"/>
      <c r="AT75" s="305"/>
      <c r="AU75" s="305"/>
      <c r="AV75" s="305"/>
    </row>
    <row r="76" spans="1:48" s="306" customFormat="1" ht="40.5" hidden="1">
      <c r="A76" s="308" t="s">
        <v>287</v>
      </c>
      <c r="B76" s="353" t="s">
        <v>684</v>
      </c>
      <c r="C76" s="283" t="s">
        <v>797</v>
      </c>
      <c r="D76" s="284"/>
      <c r="E76" s="284"/>
      <c r="F76" s="284"/>
      <c r="G76" s="284"/>
      <c r="H76" s="284"/>
      <c r="I76" s="284"/>
      <c r="J76" s="366">
        <v>3</v>
      </c>
      <c r="K76" s="370">
        <f t="shared" si="6"/>
        <v>0.31914893617021284</v>
      </c>
      <c r="L76" s="371">
        <v>4.5</v>
      </c>
      <c r="M76" s="371">
        <v>0</v>
      </c>
      <c r="N76" s="366">
        <f t="shared" si="2"/>
        <v>3</v>
      </c>
      <c r="O76" s="370">
        <f t="shared" si="3"/>
        <v>0</v>
      </c>
      <c r="P76" s="370">
        <f t="shared" si="4"/>
        <v>0</v>
      </c>
      <c r="Q76" s="366">
        <f t="shared" si="7"/>
        <v>3</v>
      </c>
      <c r="R76" s="370">
        <f t="shared" si="0"/>
        <v>0</v>
      </c>
      <c r="S76" s="366">
        <f t="shared" si="8"/>
        <v>0</v>
      </c>
      <c r="T76" s="366">
        <v>0</v>
      </c>
      <c r="U76" s="370">
        <f t="shared" si="5"/>
        <v>0</v>
      </c>
      <c r="V76" s="370"/>
      <c r="W76" s="372"/>
      <c r="X76" s="370"/>
      <c r="Y76" s="370"/>
      <c r="Z76" s="370"/>
      <c r="AA76" s="370"/>
      <c r="AB76" s="370"/>
      <c r="AC76" s="370"/>
      <c r="AD76" s="370"/>
      <c r="AE76" s="370"/>
      <c r="AF76" s="370"/>
      <c r="AG76" s="370"/>
      <c r="AH76" s="370"/>
      <c r="AI76" s="370"/>
      <c r="AJ76" s="366"/>
      <c r="AK76" s="366"/>
      <c r="AL76" s="360"/>
      <c r="AM76" s="305" t="s">
        <v>823</v>
      </c>
      <c r="AN76" s="305"/>
      <c r="AO76" s="305"/>
      <c r="AP76" s="305"/>
      <c r="AQ76" s="305"/>
      <c r="AR76" s="305"/>
      <c r="AS76" s="305"/>
      <c r="AT76" s="305"/>
      <c r="AU76" s="305"/>
      <c r="AV76" s="305"/>
    </row>
    <row r="77" spans="1:48" s="306" customFormat="1" ht="58.5" hidden="1">
      <c r="A77" s="308" t="s">
        <v>289</v>
      </c>
      <c r="B77" s="355" t="s">
        <v>685</v>
      </c>
      <c r="C77" s="283" t="s">
        <v>797</v>
      </c>
      <c r="D77" s="284"/>
      <c r="E77" s="284"/>
      <c r="F77" s="284"/>
      <c r="G77" s="284"/>
      <c r="H77" s="284"/>
      <c r="I77" s="284"/>
      <c r="J77" s="366">
        <v>3</v>
      </c>
      <c r="K77" s="370">
        <f t="shared" si="6"/>
        <v>0.31914893617021284</v>
      </c>
      <c r="L77" s="371">
        <v>4.5</v>
      </c>
      <c r="M77" s="371">
        <v>4.5</v>
      </c>
      <c r="N77" s="366">
        <f t="shared" si="2"/>
        <v>3</v>
      </c>
      <c r="O77" s="370">
        <f t="shared" si="3"/>
        <v>0.63829787234042568</v>
      </c>
      <c r="P77" s="370">
        <f t="shared" si="4"/>
        <v>4.5</v>
      </c>
      <c r="Q77" s="366">
        <f t="shared" si="7"/>
        <v>3</v>
      </c>
      <c r="R77" s="370">
        <f t="shared" si="0"/>
        <v>0.63829787234042568</v>
      </c>
      <c r="S77" s="366">
        <f t="shared" si="8"/>
        <v>100</v>
      </c>
      <c r="T77" s="366">
        <v>4.4800000000000004</v>
      </c>
      <c r="U77" s="370">
        <f t="shared" si="5"/>
        <v>99.555555555555557</v>
      </c>
      <c r="V77" s="370"/>
      <c r="W77" s="372"/>
      <c r="X77" s="370"/>
      <c r="Y77" s="370"/>
      <c r="Z77" s="370"/>
      <c r="AA77" s="370"/>
      <c r="AB77" s="370"/>
      <c r="AC77" s="370"/>
      <c r="AD77" s="370"/>
      <c r="AE77" s="370"/>
      <c r="AF77" s="370"/>
      <c r="AG77" s="370"/>
      <c r="AH77" s="370"/>
      <c r="AI77" s="370"/>
      <c r="AJ77" s="366"/>
      <c r="AK77" s="366"/>
      <c r="AL77" s="360"/>
      <c r="AM77" s="305" t="s">
        <v>823</v>
      </c>
      <c r="AN77" s="305"/>
      <c r="AO77" s="305"/>
      <c r="AP77" s="305"/>
      <c r="AQ77" s="305"/>
      <c r="AR77" s="305"/>
      <c r="AS77" s="305"/>
      <c r="AT77" s="305"/>
      <c r="AU77" s="305"/>
      <c r="AV77" s="305"/>
    </row>
    <row r="78" spans="1:48" s="306" customFormat="1" ht="33.6" hidden="1" customHeight="1">
      <c r="A78" s="308" t="s">
        <v>598</v>
      </c>
      <c r="B78" s="365" t="s">
        <v>686</v>
      </c>
      <c r="C78" s="340" t="s">
        <v>794</v>
      </c>
      <c r="D78" s="284"/>
      <c r="E78" s="284"/>
      <c r="F78" s="284"/>
      <c r="G78" s="284"/>
      <c r="H78" s="284"/>
      <c r="I78" s="284"/>
      <c r="J78" s="366">
        <v>3.6</v>
      </c>
      <c r="K78" s="370">
        <f t="shared" si="6"/>
        <v>0.7092198581560285</v>
      </c>
      <c r="L78" s="371">
        <v>10</v>
      </c>
      <c r="M78" s="371">
        <v>9.5</v>
      </c>
      <c r="N78" s="366">
        <f t="shared" si="2"/>
        <v>3.6</v>
      </c>
      <c r="O78" s="370">
        <f t="shared" si="3"/>
        <v>1.3475177304964541</v>
      </c>
      <c r="P78" s="370">
        <f t="shared" si="4"/>
        <v>9.5</v>
      </c>
      <c r="Q78" s="366">
        <f t="shared" si="7"/>
        <v>3.6</v>
      </c>
      <c r="R78" s="370">
        <f t="shared" si="0"/>
        <v>1.3475177304964541</v>
      </c>
      <c r="S78" s="366">
        <f t="shared" si="8"/>
        <v>100</v>
      </c>
      <c r="T78" s="366">
        <v>9.4499999999999993</v>
      </c>
      <c r="U78" s="370">
        <f t="shared" si="5"/>
        <v>99.473684210526301</v>
      </c>
      <c r="V78" s="370"/>
      <c r="W78" s="372"/>
      <c r="X78" s="370"/>
      <c r="Y78" s="370"/>
      <c r="Z78" s="370"/>
      <c r="AA78" s="370"/>
      <c r="AB78" s="370"/>
      <c r="AC78" s="370"/>
      <c r="AD78" s="370"/>
      <c r="AE78" s="370"/>
      <c r="AF78" s="370"/>
      <c r="AG78" s="370"/>
      <c r="AH78" s="370"/>
      <c r="AI78" s="370"/>
      <c r="AJ78" s="366"/>
      <c r="AK78" s="366"/>
      <c r="AL78" s="360"/>
      <c r="AM78" s="305" t="s">
        <v>823</v>
      </c>
      <c r="AN78" s="305"/>
      <c r="AO78" s="305"/>
      <c r="AP78" s="305"/>
      <c r="AQ78" s="305"/>
      <c r="AR78" s="305"/>
      <c r="AS78" s="305"/>
      <c r="AT78" s="305"/>
      <c r="AU78" s="305"/>
      <c r="AV78" s="305"/>
    </row>
    <row r="79" spans="1:48" s="306" customFormat="1" ht="40.5" hidden="1">
      <c r="A79" s="308" t="s">
        <v>291</v>
      </c>
      <c r="B79" s="353" t="s">
        <v>687</v>
      </c>
      <c r="C79" s="341" t="s">
        <v>797</v>
      </c>
      <c r="D79" s="284"/>
      <c r="E79" s="284"/>
      <c r="F79" s="284"/>
      <c r="G79" s="284"/>
      <c r="H79" s="284"/>
      <c r="I79" s="284"/>
      <c r="J79" s="366">
        <v>5</v>
      </c>
      <c r="K79" s="370">
        <f t="shared" si="6"/>
        <v>0.35460992907801425</v>
      </c>
      <c r="L79" s="371">
        <v>5</v>
      </c>
      <c r="M79" s="371">
        <v>0</v>
      </c>
      <c r="N79" s="366">
        <f t="shared" si="2"/>
        <v>5</v>
      </c>
      <c r="O79" s="370">
        <f t="shared" si="3"/>
        <v>0</v>
      </c>
      <c r="P79" s="370">
        <f t="shared" si="4"/>
        <v>0</v>
      </c>
      <c r="Q79" s="366">
        <f t="shared" si="7"/>
        <v>5</v>
      </c>
      <c r="R79" s="370">
        <f t="shared" si="0"/>
        <v>0</v>
      </c>
      <c r="S79" s="366">
        <f t="shared" si="8"/>
        <v>0</v>
      </c>
      <c r="T79" s="366">
        <v>0</v>
      </c>
      <c r="U79" s="370">
        <f t="shared" si="5"/>
        <v>0</v>
      </c>
      <c r="V79" s="370"/>
      <c r="W79" s="372"/>
      <c r="X79" s="370"/>
      <c r="Y79" s="370"/>
      <c r="Z79" s="370"/>
      <c r="AA79" s="370"/>
      <c r="AB79" s="370"/>
      <c r="AC79" s="370"/>
      <c r="AD79" s="370"/>
      <c r="AE79" s="370"/>
      <c r="AF79" s="370"/>
      <c r="AG79" s="370"/>
      <c r="AH79" s="370"/>
      <c r="AI79" s="370"/>
      <c r="AJ79" s="366"/>
      <c r="AK79" s="366"/>
      <c r="AL79" s="360"/>
      <c r="AM79" s="305" t="s">
        <v>823</v>
      </c>
      <c r="AN79" s="305"/>
      <c r="AO79" s="305"/>
      <c r="AP79" s="305"/>
      <c r="AQ79" s="305"/>
      <c r="AR79" s="305"/>
      <c r="AS79" s="305"/>
      <c r="AT79" s="305"/>
      <c r="AU79" s="305"/>
      <c r="AV79" s="305"/>
    </row>
    <row r="80" spans="1:48" s="306" customFormat="1" ht="40.5" hidden="1">
      <c r="A80" s="308" t="s">
        <v>293</v>
      </c>
      <c r="B80" s="353" t="s">
        <v>688</v>
      </c>
      <c r="C80" s="341" t="s">
        <v>797</v>
      </c>
      <c r="D80" s="284"/>
      <c r="E80" s="284"/>
      <c r="F80" s="284"/>
      <c r="G80" s="284"/>
      <c r="H80" s="284"/>
      <c r="I80" s="284"/>
      <c r="J80" s="366">
        <v>3</v>
      </c>
      <c r="K80" s="370">
        <f t="shared" si="6"/>
        <v>0.31914893617021284</v>
      </c>
      <c r="L80" s="371">
        <v>4.5</v>
      </c>
      <c r="M80" s="371">
        <v>0</v>
      </c>
      <c r="N80" s="366">
        <f t="shared" si="2"/>
        <v>3</v>
      </c>
      <c r="O80" s="370">
        <f t="shared" si="3"/>
        <v>0</v>
      </c>
      <c r="P80" s="370">
        <f t="shared" si="4"/>
        <v>0</v>
      </c>
      <c r="Q80" s="366">
        <f t="shared" si="7"/>
        <v>3</v>
      </c>
      <c r="R80" s="370">
        <f t="shared" si="0"/>
        <v>0</v>
      </c>
      <c r="S80" s="366">
        <f t="shared" si="8"/>
        <v>0</v>
      </c>
      <c r="T80" s="366">
        <v>0</v>
      </c>
      <c r="U80" s="370">
        <f t="shared" si="5"/>
        <v>0</v>
      </c>
      <c r="V80" s="370"/>
      <c r="W80" s="372"/>
      <c r="X80" s="370"/>
      <c r="Y80" s="370"/>
      <c r="Z80" s="370"/>
      <c r="AA80" s="370"/>
      <c r="AB80" s="370"/>
      <c r="AC80" s="370"/>
      <c r="AD80" s="370"/>
      <c r="AE80" s="370"/>
      <c r="AF80" s="370"/>
      <c r="AG80" s="370"/>
      <c r="AH80" s="370"/>
      <c r="AI80" s="370"/>
      <c r="AJ80" s="366"/>
      <c r="AK80" s="366"/>
      <c r="AL80" s="360"/>
      <c r="AM80" s="305" t="s">
        <v>823</v>
      </c>
      <c r="AN80" s="305"/>
      <c r="AO80" s="305"/>
      <c r="AP80" s="305"/>
      <c r="AQ80" s="305"/>
      <c r="AR80" s="305"/>
      <c r="AS80" s="305"/>
      <c r="AT80" s="305"/>
      <c r="AU80" s="305"/>
      <c r="AV80" s="305"/>
    </row>
    <row r="81" spans="1:48" s="306" customFormat="1" ht="40.5" hidden="1">
      <c r="A81" s="308" t="s">
        <v>297</v>
      </c>
      <c r="B81" s="353" t="s">
        <v>689</v>
      </c>
      <c r="C81" s="341" t="s">
        <v>797</v>
      </c>
      <c r="D81" s="284"/>
      <c r="E81" s="284"/>
      <c r="F81" s="284"/>
      <c r="G81" s="284"/>
      <c r="H81" s="284"/>
      <c r="I81" s="284"/>
      <c r="J81" s="366">
        <v>7.5</v>
      </c>
      <c r="K81" s="370">
        <f t="shared" si="6"/>
        <v>1.0638297872340428</v>
      </c>
      <c r="L81" s="371">
        <v>15</v>
      </c>
      <c r="M81" s="371">
        <v>0</v>
      </c>
      <c r="N81" s="366">
        <f t="shared" si="2"/>
        <v>7.5</v>
      </c>
      <c r="O81" s="370">
        <f t="shared" si="3"/>
        <v>0</v>
      </c>
      <c r="P81" s="370">
        <f t="shared" si="4"/>
        <v>0</v>
      </c>
      <c r="Q81" s="366">
        <f t="shared" si="7"/>
        <v>7.5</v>
      </c>
      <c r="R81" s="370">
        <f t="shared" si="0"/>
        <v>0</v>
      </c>
      <c r="S81" s="366">
        <f t="shared" si="8"/>
        <v>0</v>
      </c>
      <c r="T81" s="366">
        <v>0</v>
      </c>
      <c r="U81" s="370">
        <f t="shared" si="5"/>
        <v>0</v>
      </c>
      <c r="V81" s="370"/>
      <c r="W81" s="372"/>
      <c r="X81" s="370"/>
      <c r="Y81" s="370"/>
      <c r="Z81" s="370"/>
      <c r="AA81" s="370"/>
      <c r="AB81" s="370"/>
      <c r="AC81" s="370"/>
      <c r="AD81" s="370"/>
      <c r="AE81" s="370"/>
      <c r="AF81" s="370"/>
      <c r="AG81" s="370"/>
      <c r="AH81" s="370"/>
      <c r="AI81" s="370"/>
      <c r="AJ81" s="366"/>
      <c r="AK81" s="366"/>
      <c r="AL81" s="360"/>
      <c r="AM81" s="305" t="s">
        <v>823</v>
      </c>
      <c r="AN81" s="305"/>
      <c r="AO81" s="305"/>
      <c r="AP81" s="305"/>
      <c r="AQ81" s="305"/>
      <c r="AR81" s="305"/>
      <c r="AS81" s="305"/>
      <c r="AT81" s="305"/>
      <c r="AU81" s="305"/>
      <c r="AV81" s="305"/>
    </row>
    <row r="82" spans="1:48" s="306" customFormat="1" ht="40.5" hidden="1">
      <c r="A82" s="308" t="s">
        <v>299</v>
      </c>
      <c r="B82" s="353" t="s">
        <v>690</v>
      </c>
      <c r="C82" s="341" t="s">
        <v>797</v>
      </c>
      <c r="D82" s="284"/>
      <c r="E82" s="284"/>
      <c r="F82" s="284"/>
      <c r="G82" s="284"/>
      <c r="H82" s="284"/>
      <c r="I82" s="284"/>
      <c r="J82" s="366">
        <v>1</v>
      </c>
      <c r="K82" s="370">
        <f t="shared" si="6"/>
        <v>0.14184397163120571</v>
      </c>
      <c r="L82" s="371">
        <v>2</v>
      </c>
      <c r="M82" s="371">
        <v>0</v>
      </c>
      <c r="N82" s="366">
        <f t="shared" si="2"/>
        <v>1</v>
      </c>
      <c r="O82" s="370">
        <f t="shared" si="3"/>
        <v>0</v>
      </c>
      <c r="P82" s="370">
        <f t="shared" si="4"/>
        <v>0</v>
      </c>
      <c r="Q82" s="366">
        <f t="shared" si="7"/>
        <v>1</v>
      </c>
      <c r="R82" s="370">
        <f t="shared" si="0"/>
        <v>0</v>
      </c>
      <c r="S82" s="366">
        <f t="shared" si="8"/>
        <v>0</v>
      </c>
      <c r="T82" s="366">
        <v>0</v>
      </c>
      <c r="U82" s="370">
        <f t="shared" si="5"/>
        <v>0</v>
      </c>
      <c r="V82" s="370"/>
      <c r="W82" s="372"/>
      <c r="X82" s="370"/>
      <c r="Y82" s="370"/>
      <c r="Z82" s="370"/>
      <c r="AA82" s="370"/>
      <c r="AB82" s="370"/>
      <c r="AC82" s="370"/>
      <c r="AD82" s="370"/>
      <c r="AE82" s="370"/>
      <c r="AF82" s="370"/>
      <c r="AG82" s="370"/>
      <c r="AH82" s="370"/>
      <c r="AI82" s="370"/>
      <c r="AJ82" s="366"/>
      <c r="AK82" s="366"/>
      <c r="AL82" s="360"/>
      <c r="AM82" s="305" t="s">
        <v>823</v>
      </c>
      <c r="AN82" s="305"/>
      <c r="AO82" s="305"/>
      <c r="AP82" s="305"/>
      <c r="AQ82" s="305"/>
      <c r="AR82" s="305"/>
      <c r="AS82" s="305"/>
      <c r="AT82" s="305"/>
      <c r="AU82" s="305"/>
      <c r="AV82" s="305"/>
    </row>
    <row r="83" spans="1:48" s="306" customFormat="1" ht="39" hidden="1">
      <c r="A83" s="308" t="s">
        <v>301</v>
      </c>
      <c r="B83" s="304" t="s">
        <v>691</v>
      </c>
      <c r="C83" s="341" t="s">
        <v>797</v>
      </c>
      <c r="D83" s="284"/>
      <c r="E83" s="284"/>
      <c r="F83" s="284"/>
      <c r="G83" s="284"/>
      <c r="H83" s="284"/>
      <c r="I83" s="284"/>
      <c r="J83" s="366">
        <v>1</v>
      </c>
      <c r="K83" s="370">
        <f t="shared" si="6"/>
        <v>2.1276595744680855</v>
      </c>
      <c r="L83" s="371">
        <v>30</v>
      </c>
      <c r="M83" s="371">
        <v>0</v>
      </c>
      <c r="N83" s="366">
        <f t="shared" si="2"/>
        <v>1</v>
      </c>
      <c r="O83" s="370">
        <f t="shared" si="3"/>
        <v>0</v>
      </c>
      <c r="P83" s="370">
        <f t="shared" si="4"/>
        <v>0</v>
      </c>
      <c r="Q83" s="366">
        <f t="shared" si="7"/>
        <v>1</v>
      </c>
      <c r="R83" s="370">
        <f t="shared" si="0"/>
        <v>0</v>
      </c>
      <c r="S83" s="366">
        <f t="shared" si="8"/>
        <v>0</v>
      </c>
      <c r="T83" s="366">
        <v>0</v>
      </c>
      <c r="U83" s="370">
        <f t="shared" si="5"/>
        <v>0</v>
      </c>
      <c r="V83" s="370"/>
      <c r="W83" s="372"/>
      <c r="X83" s="370"/>
      <c r="Y83" s="370"/>
      <c r="Z83" s="370"/>
      <c r="AA83" s="370"/>
      <c r="AB83" s="370"/>
      <c r="AC83" s="370"/>
      <c r="AD83" s="370"/>
      <c r="AE83" s="370"/>
      <c r="AF83" s="370"/>
      <c r="AG83" s="370"/>
      <c r="AH83" s="370"/>
      <c r="AI83" s="370"/>
      <c r="AJ83" s="366"/>
      <c r="AK83" s="366"/>
      <c r="AL83" s="360"/>
      <c r="AM83" s="305" t="s">
        <v>823</v>
      </c>
      <c r="AN83" s="305"/>
      <c r="AO83" s="305"/>
      <c r="AP83" s="305"/>
      <c r="AQ83" s="305"/>
      <c r="AR83" s="305"/>
      <c r="AS83" s="305"/>
      <c r="AT83" s="305"/>
      <c r="AU83" s="305"/>
      <c r="AV83" s="305"/>
    </row>
    <row r="84" spans="1:48" s="306" customFormat="1" ht="58.5" hidden="1">
      <c r="A84" s="308" t="s">
        <v>692</v>
      </c>
      <c r="B84" s="304" t="s">
        <v>693</v>
      </c>
      <c r="C84" s="341" t="s">
        <v>797</v>
      </c>
      <c r="D84" s="284"/>
      <c r="E84" s="284"/>
      <c r="F84" s="284"/>
      <c r="G84" s="284"/>
      <c r="H84" s="284"/>
      <c r="I84" s="284"/>
      <c r="J84" s="366">
        <v>1</v>
      </c>
      <c r="K84" s="370">
        <f t="shared" si="6"/>
        <v>1.418439716312057</v>
      </c>
      <c r="L84" s="371">
        <v>20</v>
      </c>
      <c r="M84" s="371">
        <v>20</v>
      </c>
      <c r="N84" s="366">
        <f t="shared" si="2"/>
        <v>1</v>
      </c>
      <c r="O84" s="370">
        <f t="shared" si="3"/>
        <v>2.836879432624114</v>
      </c>
      <c r="P84" s="370">
        <f t="shared" si="4"/>
        <v>20</v>
      </c>
      <c r="Q84" s="366">
        <f t="shared" si="7"/>
        <v>1</v>
      </c>
      <c r="R84" s="370">
        <f t="shared" si="0"/>
        <v>2.836879432624114</v>
      </c>
      <c r="S84" s="366">
        <f t="shared" si="8"/>
        <v>100</v>
      </c>
      <c r="T84" s="366">
        <v>15.5</v>
      </c>
      <c r="U84" s="370">
        <f t="shared" si="5"/>
        <v>77.5</v>
      </c>
      <c r="V84" s="370"/>
      <c r="W84" s="372"/>
      <c r="X84" s="370"/>
      <c r="Y84" s="370"/>
      <c r="Z84" s="370"/>
      <c r="AA84" s="370"/>
      <c r="AB84" s="370"/>
      <c r="AC84" s="370"/>
      <c r="AD84" s="370"/>
      <c r="AE84" s="370"/>
      <c r="AF84" s="370"/>
      <c r="AG84" s="370"/>
      <c r="AH84" s="370"/>
      <c r="AI84" s="370"/>
      <c r="AJ84" s="366"/>
      <c r="AK84" s="366"/>
      <c r="AL84" s="360"/>
      <c r="AM84" s="305" t="s">
        <v>823</v>
      </c>
      <c r="AN84" s="305"/>
      <c r="AO84" s="305"/>
      <c r="AP84" s="305"/>
      <c r="AQ84" s="305"/>
      <c r="AR84" s="305"/>
      <c r="AS84" s="305"/>
      <c r="AT84" s="305"/>
      <c r="AU84" s="305"/>
      <c r="AV84" s="305"/>
    </row>
    <row r="85" spans="1:48" s="306" customFormat="1" ht="39" hidden="1">
      <c r="A85" s="304" t="s">
        <v>305</v>
      </c>
      <c r="B85" s="304" t="s">
        <v>694</v>
      </c>
      <c r="C85" s="341" t="s">
        <v>797</v>
      </c>
      <c r="D85" s="284"/>
      <c r="E85" s="284"/>
      <c r="F85" s="284"/>
      <c r="G85" s="284"/>
      <c r="H85" s="284"/>
      <c r="I85" s="284"/>
      <c r="J85" s="366">
        <v>5</v>
      </c>
      <c r="K85" s="370">
        <f t="shared" si="6"/>
        <v>0.35460992907801425</v>
      </c>
      <c r="L85" s="371">
        <v>5</v>
      </c>
      <c r="M85" s="371">
        <v>5</v>
      </c>
      <c r="N85" s="366">
        <f t="shared" si="2"/>
        <v>5</v>
      </c>
      <c r="O85" s="370">
        <f t="shared" si="3"/>
        <v>0.7092198581560285</v>
      </c>
      <c r="P85" s="370">
        <f t="shared" si="4"/>
        <v>5</v>
      </c>
      <c r="Q85" s="366">
        <f t="shared" si="7"/>
        <v>5</v>
      </c>
      <c r="R85" s="370">
        <f t="shared" si="0"/>
        <v>0.7092198581560285</v>
      </c>
      <c r="S85" s="366">
        <f t="shared" si="8"/>
        <v>100</v>
      </c>
      <c r="T85" s="366">
        <v>4.87</v>
      </c>
      <c r="U85" s="370">
        <f t="shared" si="5"/>
        <v>97.399999999999991</v>
      </c>
      <c r="V85" s="370"/>
      <c r="W85" s="372"/>
      <c r="X85" s="370"/>
      <c r="Y85" s="370"/>
      <c r="Z85" s="370"/>
      <c r="AA85" s="370"/>
      <c r="AB85" s="370"/>
      <c r="AC85" s="370"/>
      <c r="AD85" s="370"/>
      <c r="AE85" s="370"/>
      <c r="AF85" s="370"/>
      <c r="AG85" s="370"/>
      <c r="AH85" s="370"/>
      <c r="AI85" s="370"/>
      <c r="AJ85" s="366"/>
      <c r="AK85" s="366"/>
      <c r="AL85" s="360"/>
      <c r="AM85" s="305" t="s">
        <v>823</v>
      </c>
      <c r="AN85" s="305"/>
      <c r="AO85" s="305"/>
      <c r="AP85" s="305"/>
      <c r="AQ85" s="305"/>
      <c r="AR85" s="305"/>
      <c r="AS85" s="305"/>
      <c r="AT85" s="305"/>
      <c r="AU85" s="305"/>
      <c r="AV85" s="305"/>
    </row>
    <row r="86" spans="1:48" s="306" customFormat="1" ht="58.5" hidden="1">
      <c r="A86" s="304" t="s">
        <v>307</v>
      </c>
      <c r="B86" s="304" t="s">
        <v>695</v>
      </c>
      <c r="C86" s="341" t="s">
        <v>797</v>
      </c>
      <c r="D86" s="284"/>
      <c r="E86" s="284"/>
      <c r="F86" s="284"/>
      <c r="G86" s="284"/>
      <c r="H86" s="284"/>
      <c r="I86" s="284"/>
      <c r="J86" s="366">
        <v>1</v>
      </c>
      <c r="K86" s="370">
        <f t="shared" si="6"/>
        <v>1.0638297872340428</v>
      </c>
      <c r="L86" s="371">
        <v>15</v>
      </c>
      <c r="M86" s="371">
        <v>7.5</v>
      </c>
      <c r="N86" s="366">
        <f t="shared" si="2"/>
        <v>1</v>
      </c>
      <c r="O86" s="370">
        <f t="shared" si="3"/>
        <v>1.0638297872340428</v>
      </c>
      <c r="P86" s="370">
        <f t="shared" si="4"/>
        <v>7.5</v>
      </c>
      <c r="Q86" s="366">
        <f t="shared" si="7"/>
        <v>1</v>
      </c>
      <c r="R86" s="370">
        <f t="shared" ref="R86:R134" si="12">IF(N86=0,Q86/J86*K86,Q86/N86*O86)</f>
        <v>1.0638297872340428</v>
      </c>
      <c r="S86" s="366">
        <f t="shared" si="8"/>
        <v>100</v>
      </c>
      <c r="T86" s="366">
        <v>6.93</v>
      </c>
      <c r="U86" s="370">
        <f t="shared" si="5"/>
        <v>92.399999999999991</v>
      </c>
      <c r="V86" s="370"/>
      <c r="W86" s="372"/>
      <c r="X86" s="370"/>
      <c r="Y86" s="370"/>
      <c r="Z86" s="370"/>
      <c r="AA86" s="370"/>
      <c r="AB86" s="370"/>
      <c r="AC86" s="370"/>
      <c r="AD86" s="370"/>
      <c r="AE86" s="370"/>
      <c r="AF86" s="370"/>
      <c r="AG86" s="370"/>
      <c r="AH86" s="370"/>
      <c r="AI86" s="370"/>
      <c r="AJ86" s="366"/>
      <c r="AK86" s="366"/>
      <c r="AL86" s="360"/>
      <c r="AM86" s="305" t="s">
        <v>823</v>
      </c>
      <c r="AN86" s="305"/>
      <c r="AO86" s="305"/>
      <c r="AP86" s="305"/>
      <c r="AQ86" s="305"/>
      <c r="AR86" s="305"/>
      <c r="AS86" s="305"/>
      <c r="AT86" s="305"/>
      <c r="AU86" s="305"/>
      <c r="AV86" s="305"/>
    </row>
    <row r="87" spans="1:48" s="306" customFormat="1" ht="39" hidden="1">
      <c r="A87" s="304" t="s">
        <v>309</v>
      </c>
      <c r="B87" s="304" t="s">
        <v>696</v>
      </c>
      <c r="C87" s="341" t="s">
        <v>797</v>
      </c>
      <c r="D87" s="284"/>
      <c r="E87" s="284"/>
      <c r="F87" s="284"/>
      <c r="G87" s="284"/>
      <c r="H87" s="284"/>
      <c r="I87" s="284"/>
      <c r="J87" s="366">
        <v>1</v>
      </c>
      <c r="K87" s="370">
        <f t="shared" si="6"/>
        <v>7.0921985815602842</v>
      </c>
      <c r="L87" s="371">
        <v>100</v>
      </c>
      <c r="M87" s="371">
        <v>30.5</v>
      </c>
      <c r="N87" s="366">
        <f t="shared" ref="N87:N134" si="13">J87</f>
        <v>1</v>
      </c>
      <c r="O87" s="370">
        <f t="shared" ref="O87:O134" si="14">P87/$P$136*100</f>
        <v>4.3262411347517737</v>
      </c>
      <c r="P87" s="370">
        <f t="shared" ref="P87:P134" si="15">M87</f>
        <v>30.5</v>
      </c>
      <c r="Q87" s="366">
        <f t="shared" si="7"/>
        <v>1</v>
      </c>
      <c r="R87" s="370">
        <f t="shared" si="12"/>
        <v>4.3262411347517737</v>
      </c>
      <c r="S87" s="366">
        <f t="shared" si="8"/>
        <v>100</v>
      </c>
      <c r="T87" s="366">
        <v>30.35</v>
      </c>
      <c r="U87" s="370">
        <f t="shared" ref="U87:U134" si="16">IFERROR(T87/P87*100,0)</f>
        <v>99.508196721311478</v>
      </c>
      <c r="V87" s="370"/>
      <c r="W87" s="372"/>
      <c r="X87" s="370"/>
      <c r="Y87" s="370"/>
      <c r="Z87" s="370"/>
      <c r="AA87" s="370"/>
      <c r="AB87" s="370"/>
      <c r="AC87" s="370"/>
      <c r="AD87" s="370"/>
      <c r="AE87" s="370"/>
      <c r="AF87" s="370"/>
      <c r="AG87" s="370"/>
      <c r="AH87" s="370"/>
      <c r="AI87" s="370"/>
      <c r="AJ87" s="366"/>
      <c r="AK87" s="366"/>
      <c r="AL87" s="360"/>
      <c r="AM87" s="305" t="s">
        <v>823</v>
      </c>
      <c r="AN87" s="305"/>
      <c r="AO87" s="305"/>
      <c r="AP87" s="305"/>
      <c r="AQ87" s="305"/>
      <c r="AR87" s="305"/>
      <c r="AS87" s="305"/>
      <c r="AT87" s="305"/>
      <c r="AU87" s="305"/>
      <c r="AV87" s="305"/>
    </row>
    <row r="88" spans="1:48" s="306" customFormat="1" ht="39" hidden="1">
      <c r="A88" s="304" t="s">
        <v>311</v>
      </c>
      <c r="B88" s="304" t="s">
        <v>697</v>
      </c>
      <c r="C88" s="341" t="s">
        <v>797</v>
      </c>
      <c r="D88" s="284"/>
      <c r="E88" s="284"/>
      <c r="F88" s="284"/>
      <c r="G88" s="284"/>
      <c r="H88" s="284"/>
      <c r="I88" s="284"/>
      <c r="J88" s="366">
        <v>1</v>
      </c>
      <c r="K88" s="370">
        <f t="shared" ref="K88:K134" si="17">(L88/$L$135)*100</f>
        <v>7.0921985815602856E-2</v>
      </c>
      <c r="L88" s="371">
        <v>1</v>
      </c>
      <c r="M88" s="371">
        <v>0</v>
      </c>
      <c r="N88" s="366">
        <f t="shared" si="13"/>
        <v>1</v>
      </c>
      <c r="O88" s="370">
        <f t="shared" si="14"/>
        <v>0</v>
      </c>
      <c r="P88" s="370">
        <f t="shared" si="15"/>
        <v>0</v>
      </c>
      <c r="Q88" s="366">
        <f t="shared" ref="Q88:Q133" si="18">J88</f>
        <v>1</v>
      </c>
      <c r="R88" s="370">
        <f t="shared" si="12"/>
        <v>0</v>
      </c>
      <c r="S88" s="366">
        <f t="shared" si="8"/>
        <v>0</v>
      </c>
      <c r="T88" s="366">
        <v>0</v>
      </c>
      <c r="U88" s="370">
        <f t="shared" si="16"/>
        <v>0</v>
      </c>
      <c r="V88" s="370"/>
      <c r="W88" s="372"/>
      <c r="X88" s="370"/>
      <c r="Y88" s="370"/>
      <c r="Z88" s="370"/>
      <c r="AA88" s="370"/>
      <c r="AB88" s="370"/>
      <c r="AC88" s="370"/>
      <c r="AD88" s="370"/>
      <c r="AE88" s="370"/>
      <c r="AF88" s="370"/>
      <c r="AG88" s="370"/>
      <c r="AH88" s="370"/>
      <c r="AI88" s="370"/>
      <c r="AJ88" s="366"/>
      <c r="AK88" s="366"/>
      <c r="AL88" s="360"/>
      <c r="AM88" s="305" t="s">
        <v>823</v>
      </c>
      <c r="AN88" s="305"/>
      <c r="AO88" s="305"/>
      <c r="AP88" s="305"/>
      <c r="AQ88" s="305"/>
      <c r="AR88" s="305"/>
      <c r="AS88" s="305"/>
      <c r="AT88" s="305"/>
      <c r="AU88" s="305"/>
      <c r="AV88" s="305"/>
    </row>
    <row r="89" spans="1:48" s="306" customFormat="1" ht="39" hidden="1">
      <c r="A89" s="304" t="s">
        <v>313</v>
      </c>
      <c r="B89" s="304" t="s">
        <v>698</v>
      </c>
      <c r="C89" s="341" t="s">
        <v>797</v>
      </c>
      <c r="D89" s="284"/>
      <c r="E89" s="284"/>
      <c r="F89" s="284"/>
      <c r="G89" s="284"/>
      <c r="H89" s="284"/>
      <c r="I89" s="284"/>
      <c r="J89" s="366">
        <v>1</v>
      </c>
      <c r="K89" s="370">
        <f t="shared" si="17"/>
        <v>7.0921985815602856E-2</v>
      </c>
      <c r="L89" s="371">
        <v>1</v>
      </c>
      <c r="M89" s="371">
        <v>0</v>
      </c>
      <c r="N89" s="366">
        <f t="shared" si="13"/>
        <v>1</v>
      </c>
      <c r="O89" s="370">
        <f t="shared" si="14"/>
        <v>0</v>
      </c>
      <c r="P89" s="370">
        <f t="shared" si="15"/>
        <v>0</v>
      </c>
      <c r="Q89" s="366">
        <f t="shared" si="18"/>
        <v>1</v>
      </c>
      <c r="R89" s="370">
        <f t="shared" si="12"/>
        <v>0</v>
      </c>
      <c r="S89" s="366">
        <f t="shared" si="8"/>
        <v>0</v>
      </c>
      <c r="T89" s="366">
        <v>0</v>
      </c>
      <c r="U89" s="370">
        <f t="shared" si="16"/>
        <v>0</v>
      </c>
      <c r="V89" s="370"/>
      <c r="W89" s="372"/>
      <c r="X89" s="370"/>
      <c r="Y89" s="370"/>
      <c r="Z89" s="370"/>
      <c r="AA89" s="370"/>
      <c r="AB89" s="370"/>
      <c r="AC89" s="370"/>
      <c r="AD89" s="370"/>
      <c r="AE89" s="370"/>
      <c r="AF89" s="370"/>
      <c r="AG89" s="370"/>
      <c r="AH89" s="370"/>
      <c r="AI89" s="370"/>
      <c r="AJ89" s="366"/>
      <c r="AK89" s="366"/>
      <c r="AL89" s="360"/>
      <c r="AM89" s="305" t="s">
        <v>823</v>
      </c>
      <c r="AN89" s="305"/>
      <c r="AO89" s="305"/>
      <c r="AP89" s="305"/>
      <c r="AQ89" s="305"/>
      <c r="AR89" s="305"/>
      <c r="AS89" s="305"/>
      <c r="AT89" s="305"/>
      <c r="AU89" s="305"/>
      <c r="AV89" s="305"/>
    </row>
    <row r="90" spans="1:48" s="306" customFormat="1" ht="39" hidden="1">
      <c r="A90" s="304" t="s">
        <v>315</v>
      </c>
      <c r="B90" s="304" t="s">
        <v>699</v>
      </c>
      <c r="C90" s="341" t="s">
        <v>797</v>
      </c>
      <c r="D90" s="284"/>
      <c r="E90" s="284"/>
      <c r="F90" s="284"/>
      <c r="G90" s="284"/>
      <c r="H90" s="284"/>
      <c r="I90" s="284"/>
      <c r="J90" s="366">
        <v>1</v>
      </c>
      <c r="K90" s="370">
        <f t="shared" si="17"/>
        <v>7.0921985815602856E-2</v>
      </c>
      <c r="L90" s="371">
        <v>1</v>
      </c>
      <c r="M90" s="371">
        <v>0</v>
      </c>
      <c r="N90" s="366">
        <f t="shared" si="13"/>
        <v>1</v>
      </c>
      <c r="O90" s="370">
        <f t="shared" si="14"/>
        <v>0</v>
      </c>
      <c r="P90" s="370">
        <f t="shared" si="15"/>
        <v>0</v>
      </c>
      <c r="Q90" s="366">
        <f t="shared" si="18"/>
        <v>1</v>
      </c>
      <c r="R90" s="370">
        <f t="shared" si="12"/>
        <v>0</v>
      </c>
      <c r="S90" s="366">
        <f t="shared" si="8"/>
        <v>0</v>
      </c>
      <c r="T90" s="366">
        <v>0</v>
      </c>
      <c r="U90" s="370">
        <f t="shared" si="16"/>
        <v>0</v>
      </c>
      <c r="V90" s="370"/>
      <c r="W90" s="372"/>
      <c r="X90" s="370"/>
      <c r="Y90" s="370"/>
      <c r="Z90" s="370"/>
      <c r="AA90" s="370"/>
      <c r="AB90" s="370"/>
      <c r="AC90" s="370"/>
      <c r="AD90" s="370"/>
      <c r="AE90" s="370"/>
      <c r="AF90" s="370"/>
      <c r="AG90" s="370"/>
      <c r="AH90" s="370"/>
      <c r="AI90" s="370"/>
      <c r="AJ90" s="366"/>
      <c r="AK90" s="366"/>
      <c r="AL90" s="360"/>
      <c r="AM90" s="305" t="s">
        <v>823</v>
      </c>
      <c r="AN90" s="305"/>
      <c r="AO90" s="305"/>
      <c r="AP90" s="305"/>
      <c r="AQ90" s="305"/>
      <c r="AR90" s="305"/>
      <c r="AS90" s="305"/>
      <c r="AT90" s="305"/>
      <c r="AU90" s="305"/>
      <c r="AV90" s="305"/>
    </row>
    <row r="91" spans="1:48" s="306" customFormat="1" ht="39" hidden="1">
      <c r="A91" s="304" t="s">
        <v>317</v>
      </c>
      <c r="B91" s="304" t="s">
        <v>700</v>
      </c>
      <c r="C91" s="341" t="s">
        <v>797</v>
      </c>
      <c r="D91" s="284"/>
      <c r="E91" s="284"/>
      <c r="F91" s="284"/>
      <c r="G91" s="284"/>
      <c r="H91" s="284"/>
      <c r="I91" s="284"/>
      <c r="J91" s="366">
        <v>1</v>
      </c>
      <c r="K91" s="370">
        <f t="shared" si="17"/>
        <v>7.0921985815602856E-2</v>
      </c>
      <c r="L91" s="371">
        <v>1</v>
      </c>
      <c r="M91" s="371">
        <v>0</v>
      </c>
      <c r="N91" s="366">
        <f t="shared" si="13"/>
        <v>1</v>
      </c>
      <c r="O91" s="370">
        <f t="shared" si="14"/>
        <v>0</v>
      </c>
      <c r="P91" s="370">
        <f t="shared" si="15"/>
        <v>0</v>
      </c>
      <c r="Q91" s="366">
        <f t="shared" si="18"/>
        <v>1</v>
      </c>
      <c r="R91" s="370">
        <f t="shared" si="12"/>
        <v>0</v>
      </c>
      <c r="S91" s="366">
        <f t="shared" si="8"/>
        <v>0</v>
      </c>
      <c r="T91" s="366">
        <v>0</v>
      </c>
      <c r="U91" s="370">
        <f t="shared" si="16"/>
        <v>0</v>
      </c>
      <c r="V91" s="370"/>
      <c r="W91" s="372"/>
      <c r="X91" s="370"/>
      <c r="Y91" s="370"/>
      <c r="Z91" s="370"/>
      <c r="AA91" s="370"/>
      <c r="AB91" s="370"/>
      <c r="AC91" s="370"/>
      <c r="AD91" s="370"/>
      <c r="AE91" s="370"/>
      <c r="AF91" s="370"/>
      <c r="AG91" s="370"/>
      <c r="AH91" s="370"/>
      <c r="AI91" s="370"/>
      <c r="AJ91" s="366"/>
      <c r="AK91" s="366"/>
      <c r="AL91" s="360"/>
      <c r="AM91" s="305" t="s">
        <v>823</v>
      </c>
      <c r="AN91" s="305"/>
      <c r="AO91" s="305"/>
      <c r="AP91" s="305"/>
      <c r="AQ91" s="305"/>
      <c r="AR91" s="305"/>
      <c r="AS91" s="305"/>
      <c r="AT91" s="305"/>
      <c r="AU91" s="305"/>
      <c r="AV91" s="305"/>
    </row>
    <row r="92" spans="1:48" s="306" customFormat="1" ht="58.5" hidden="1">
      <c r="A92" s="304" t="s">
        <v>319</v>
      </c>
      <c r="B92" s="304" t="s">
        <v>701</v>
      </c>
      <c r="C92" s="341" t="s">
        <v>797</v>
      </c>
      <c r="D92" s="284"/>
      <c r="E92" s="284"/>
      <c r="F92" s="284"/>
      <c r="G92" s="284"/>
      <c r="H92" s="284"/>
      <c r="I92" s="284"/>
      <c r="J92" s="366">
        <v>1</v>
      </c>
      <c r="K92" s="370">
        <f t="shared" si="17"/>
        <v>7.0921985815602856E-2</v>
      </c>
      <c r="L92" s="371">
        <v>1</v>
      </c>
      <c r="M92" s="371">
        <v>0</v>
      </c>
      <c r="N92" s="366">
        <f t="shared" si="13"/>
        <v>1</v>
      </c>
      <c r="O92" s="370">
        <f t="shared" si="14"/>
        <v>0</v>
      </c>
      <c r="P92" s="370">
        <f t="shared" si="15"/>
        <v>0</v>
      </c>
      <c r="Q92" s="366">
        <f t="shared" si="18"/>
        <v>1</v>
      </c>
      <c r="R92" s="370">
        <f t="shared" si="12"/>
        <v>0</v>
      </c>
      <c r="S92" s="366">
        <f t="shared" si="8"/>
        <v>0</v>
      </c>
      <c r="T92" s="366">
        <v>0</v>
      </c>
      <c r="U92" s="370">
        <f t="shared" si="16"/>
        <v>0</v>
      </c>
      <c r="V92" s="370"/>
      <c r="W92" s="372"/>
      <c r="X92" s="370"/>
      <c r="Y92" s="370"/>
      <c r="Z92" s="370"/>
      <c r="AA92" s="370"/>
      <c r="AB92" s="370"/>
      <c r="AC92" s="370"/>
      <c r="AD92" s="370"/>
      <c r="AE92" s="370"/>
      <c r="AF92" s="370"/>
      <c r="AG92" s="370"/>
      <c r="AH92" s="370"/>
      <c r="AI92" s="370"/>
      <c r="AJ92" s="366"/>
      <c r="AK92" s="366"/>
      <c r="AL92" s="360"/>
      <c r="AM92" s="305" t="s">
        <v>823</v>
      </c>
      <c r="AN92" s="305"/>
      <c r="AO92" s="305"/>
      <c r="AP92" s="305"/>
      <c r="AQ92" s="305"/>
      <c r="AR92" s="305"/>
      <c r="AS92" s="305"/>
      <c r="AT92" s="305"/>
      <c r="AU92" s="305"/>
      <c r="AV92" s="305"/>
    </row>
    <row r="93" spans="1:48" s="306" customFormat="1" ht="39" hidden="1">
      <c r="A93" s="304" t="s">
        <v>321</v>
      </c>
      <c r="B93" s="304" t="s">
        <v>702</v>
      </c>
      <c r="C93" s="341" t="s">
        <v>797</v>
      </c>
      <c r="D93" s="284"/>
      <c r="E93" s="284"/>
      <c r="F93" s="284"/>
      <c r="G93" s="284"/>
      <c r="H93" s="284"/>
      <c r="I93" s="284"/>
      <c r="J93" s="366">
        <v>20.67</v>
      </c>
      <c r="K93" s="370">
        <f t="shared" si="17"/>
        <v>2.1985815602836882</v>
      </c>
      <c r="L93" s="371">
        <v>31</v>
      </c>
      <c r="M93" s="371">
        <v>20.56</v>
      </c>
      <c r="N93" s="366">
        <f t="shared" si="13"/>
        <v>20.67</v>
      </c>
      <c r="O93" s="370">
        <f t="shared" si="14"/>
        <v>2.9163120567375889</v>
      </c>
      <c r="P93" s="370">
        <f t="shared" si="15"/>
        <v>20.56</v>
      </c>
      <c r="Q93" s="366">
        <f t="shared" si="18"/>
        <v>20.67</v>
      </c>
      <c r="R93" s="370">
        <f t="shared" si="12"/>
        <v>2.9163120567375889</v>
      </c>
      <c r="S93" s="366">
        <f t="shared" si="8"/>
        <v>100</v>
      </c>
      <c r="T93" s="366">
        <v>20.420000000000002</v>
      </c>
      <c r="U93" s="370">
        <f t="shared" si="16"/>
        <v>99.319066147859942</v>
      </c>
      <c r="V93" s="370"/>
      <c r="W93" s="372"/>
      <c r="X93" s="370"/>
      <c r="Y93" s="370"/>
      <c r="Z93" s="370"/>
      <c r="AA93" s="370"/>
      <c r="AB93" s="370"/>
      <c r="AC93" s="370"/>
      <c r="AD93" s="370"/>
      <c r="AE93" s="370"/>
      <c r="AF93" s="370"/>
      <c r="AG93" s="370"/>
      <c r="AH93" s="370"/>
      <c r="AI93" s="370"/>
      <c r="AJ93" s="366"/>
      <c r="AK93" s="366"/>
      <c r="AL93" s="360"/>
      <c r="AM93" s="305" t="s">
        <v>823</v>
      </c>
      <c r="AN93" s="305"/>
      <c r="AO93" s="305"/>
      <c r="AP93" s="305"/>
      <c r="AQ93" s="305"/>
      <c r="AR93" s="305"/>
      <c r="AS93" s="305"/>
      <c r="AT93" s="305"/>
      <c r="AU93" s="305"/>
      <c r="AV93" s="305"/>
    </row>
    <row r="94" spans="1:48" s="306" customFormat="1" ht="39" hidden="1">
      <c r="A94" s="304" t="s">
        <v>325</v>
      </c>
      <c r="B94" s="304" t="s">
        <v>703</v>
      </c>
      <c r="C94" s="341" t="s">
        <v>797</v>
      </c>
      <c r="D94" s="284"/>
      <c r="E94" s="284"/>
      <c r="F94" s="284"/>
      <c r="G94" s="284"/>
      <c r="H94" s="284"/>
      <c r="I94" s="284"/>
      <c r="J94" s="366">
        <v>10</v>
      </c>
      <c r="K94" s="370">
        <f t="shared" si="17"/>
        <v>1.418439716312057</v>
      </c>
      <c r="L94" s="371">
        <v>20</v>
      </c>
      <c r="M94" s="371">
        <v>14.48</v>
      </c>
      <c r="N94" s="366">
        <f t="shared" si="13"/>
        <v>10</v>
      </c>
      <c r="O94" s="370">
        <f t="shared" si="14"/>
        <v>2.0539007092198589</v>
      </c>
      <c r="P94" s="370">
        <f t="shared" si="15"/>
        <v>14.48</v>
      </c>
      <c r="Q94" s="366">
        <f t="shared" si="18"/>
        <v>10</v>
      </c>
      <c r="R94" s="370">
        <f t="shared" si="12"/>
        <v>2.0539007092198589</v>
      </c>
      <c r="S94" s="366">
        <f t="shared" si="8"/>
        <v>100</v>
      </c>
      <c r="T94" s="366">
        <v>14.47</v>
      </c>
      <c r="U94" s="370">
        <f t="shared" si="16"/>
        <v>99.930939226519328</v>
      </c>
      <c r="V94" s="370"/>
      <c r="W94" s="372"/>
      <c r="X94" s="370"/>
      <c r="Y94" s="370"/>
      <c r="Z94" s="370"/>
      <c r="AA94" s="370"/>
      <c r="AB94" s="370"/>
      <c r="AC94" s="370"/>
      <c r="AD94" s="370"/>
      <c r="AE94" s="370"/>
      <c r="AF94" s="370"/>
      <c r="AG94" s="370"/>
      <c r="AH94" s="370"/>
      <c r="AI94" s="370"/>
      <c r="AJ94" s="366"/>
      <c r="AK94" s="366"/>
      <c r="AL94" s="360"/>
      <c r="AM94" s="305" t="s">
        <v>823</v>
      </c>
      <c r="AN94" s="305"/>
      <c r="AO94" s="305"/>
      <c r="AP94" s="305"/>
      <c r="AQ94" s="305"/>
      <c r="AR94" s="305"/>
      <c r="AS94" s="305"/>
      <c r="AT94" s="305"/>
      <c r="AU94" s="305"/>
      <c r="AV94" s="305"/>
    </row>
    <row r="95" spans="1:48" s="306" customFormat="1" ht="39">
      <c r="A95" s="304" t="s">
        <v>818</v>
      </c>
      <c r="B95" s="379" t="s">
        <v>705</v>
      </c>
      <c r="C95" s="283" t="s">
        <v>795</v>
      </c>
      <c r="D95" s="284"/>
      <c r="E95" s="284"/>
      <c r="F95" s="284"/>
      <c r="G95" s="284"/>
      <c r="H95" s="284"/>
      <c r="I95" s="284"/>
      <c r="J95" s="366">
        <v>1</v>
      </c>
      <c r="K95" s="370">
        <f t="shared" si="17"/>
        <v>5.3191489361702136</v>
      </c>
      <c r="L95" s="371">
        <v>75</v>
      </c>
      <c r="M95" s="371">
        <v>73.099999999999994</v>
      </c>
      <c r="N95" s="366">
        <f t="shared" si="13"/>
        <v>1</v>
      </c>
      <c r="O95" s="370">
        <f t="shared" si="14"/>
        <v>10.368794326241137</v>
      </c>
      <c r="P95" s="370">
        <f t="shared" si="15"/>
        <v>73.099999999999994</v>
      </c>
      <c r="Q95" s="366">
        <f t="shared" si="18"/>
        <v>1</v>
      </c>
      <c r="R95" s="370">
        <f t="shared" si="12"/>
        <v>10.368794326241137</v>
      </c>
      <c r="S95" s="366">
        <f t="shared" si="8"/>
        <v>100</v>
      </c>
      <c r="T95" s="366">
        <v>71.7</v>
      </c>
      <c r="U95" s="370">
        <f t="shared" si="16"/>
        <v>98.084815321477436</v>
      </c>
      <c r="V95" s="370"/>
      <c r="W95" s="372"/>
      <c r="X95" s="370"/>
      <c r="Y95" s="370"/>
      <c r="Z95" s="370"/>
      <c r="AA95" s="370"/>
      <c r="AB95" s="370"/>
      <c r="AC95" s="370"/>
      <c r="AD95" s="370"/>
      <c r="AE95" s="370"/>
      <c r="AF95" s="370"/>
      <c r="AG95" s="370"/>
      <c r="AH95" s="370"/>
      <c r="AI95" s="370"/>
      <c r="AJ95" s="366"/>
      <c r="AK95" s="366"/>
      <c r="AL95" s="360"/>
      <c r="AM95" s="305" t="s">
        <v>824</v>
      </c>
      <c r="AN95" s="305"/>
      <c r="AO95" s="305"/>
      <c r="AP95" s="305"/>
      <c r="AQ95" s="305"/>
      <c r="AR95" s="305"/>
      <c r="AS95" s="305"/>
      <c r="AT95" s="305"/>
      <c r="AU95" s="305"/>
      <c r="AV95" s="305"/>
    </row>
    <row r="96" spans="1:48" s="306" customFormat="1" ht="39" hidden="1">
      <c r="A96" s="304" t="s">
        <v>327</v>
      </c>
      <c r="B96" s="304" t="s">
        <v>706</v>
      </c>
      <c r="C96" s="341" t="s">
        <v>797</v>
      </c>
      <c r="D96" s="284"/>
      <c r="E96" s="284"/>
      <c r="F96" s="284"/>
      <c r="G96" s="284"/>
      <c r="H96" s="284"/>
      <c r="I96" s="284"/>
      <c r="J96" s="366">
        <v>1</v>
      </c>
      <c r="K96" s="370">
        <f t="shared" si="17"/>
        <v>7.0921985815602856E-2</v>
      </c>
      <c r="L96" s="371">
        <v>1</v>
      </c>
      <c r="M96" s="371">
        <v>0</v>
      </c>
      <c r="N96" s="366">
        <f t="shared" si="13"/>
        <v>1</v>
      </c>
      <c r="O96" s="370">
        <f t="shared" si="14"/>
        <v>0</v>
      </c>
      <c r="P96" s="370">
        <f t="shared" si="15"/>
        <v>0</v>
      </c>
      <c r="Q96" s="366">
        <f t="shared" si="18"/>
        <v>1</v>
      </c>
      <c r="R96" s="370">
        <f t="shared" si="12"/>
        <v>0</v>
      </c>
      <c r="S96" s="366">
        <f t="shared" ref="S96:S124" si="19">ROUND(IF(O96=0,R96/K96*100,R96/O96*100),2)</f>
        <v>0</v>
      </c>
      <c r="T96" s="366">
        <v>0</v>
      </c>
      <c r="U96" s="370">
        <f t="shared" si="16"/>
        <v>0</v>
      </c>
      <c r="V96" s="370"/>
      <c r="W96" s="372"/>
      <c r="X96" s="370"/>
      <c r="Y96" s="370"/>
      <c r="Z96" s="370"/>
      <c r="AA96" s="370"/>
      <c r="AB96" s="370"/>
      <c r="AC96" s="370"/>
      <c r="AD96" s="370"/>
      <c r="AE96" s="370"/>
      <c r="AF96" s="370"/>
      <c r="AG96" s="370"/>
      <c r="AH96" s="370"/>
      <c r="AI96" s="370"/>
      <c r="AJ96" s="366"/>
      <c r="AK96" s="366"/>
      <c r="AL96" s="360"/>
      <c r="AM96" s="305" t="s">
        <v>823</v>
      </c>
      <c r="AN96" s="305"/>
      <c r="AO96" s="305"/>
      <c r="AP96" s="305"/>
      <c r="AQ96" s="305"/>
      <c r="AR96" s="305"/>
      <c r="AS96" s="305"/>
      <c r="AT96" s="305"/>
      <c r="AU96" s="305"/>
      <c r="AV96" s="305"/>
    </row>
    <row r="97" spans="1:48" s="306" customFormat="1" ht="39" hidden="1">
      <c r="A97" s="304" t="s">
        <v>329</v>
      </c>
      <c r="B97" s="304" t="s">
        <v>707</v>
      </c>
      <c r="C97" s="341" t="s">
        <v>797</v>
      </c>
      <c r="D97" s="284"/>
      <c r="E97" s="284"/>
      <c r="F97" s="284"/>
      <c r="G97" s="284"/>
      <c r="H97" s="284"/>
      <c r="I97" s="284"/>
      <c r="J97" s="366">
        <v>0.5</v>
      </c>
      <c r="K97" s="370">
        <f t="shared" si="17"/>
        <v>3.5460992907801428E-2</v>
      </c>
      <c r="L97" s="371">
        <v>0.5</v>
      </c>
      <c r="M97" s="371">
        <v>0.5</v>
      </c>
      <c r="N97" s="366">
        <f t="shared" si="13"/>
        <v>0.5</v>
      </c>
      <c r="O97" s="370">
        <f t="shared" si="14"/>
        <v>7.0921985815602856E-2</v>
      </c>
      <c r="P97" s="370">
        <f t="shared" si="15"/>
        <v>0.5</v>
      </c>
      <c r="Q97" s="366">
        <f t="shared" si="18"/>
        <v>0.5</v>
      </c>
      <c r="R97" s="370">
        <f t="shared" si="12"/>
        <v>7.0921985815602856E-2</v>
      </c>
      <c r="S97" s="366">
        <f t="shared" si="19"/>
        <v>100</v>
      </c>
      <c r="T97" s="366">
        <v>0.31</v>
      </c>
      <c r="U97" s="370">
        <f t="shared" si="16"/>
        <v>62</v>
      </c>
      <c r="V97" s="370"/>
      <c r="W97" s="372"/>
      <c r="X97" s="370"/>
      <c r="Y97" s="370"/>
      <c r="Z97" s="370"/>
      <c r="AA97" s="370"/>
      <c r="AB97" s="370"/>
      <c r="AC97" s="370"/>
      <c r="AD97" s="370"/>
      <c r="AE97" s="370"/>
      <c r="AF97" s="370"/>
      <c r="AG97" s="370"/>
      <c r="AH97" s="370"/>
      <c r="AI97" s="370"/>
      <c r="AJ97" s="366"/>
      <c r="AK97" s="366"/>
      <c r="AL97" s="360"/>
      <c r="AM97" s="305" t="s">
        <v>823</v>
      </c>
      <c r="AN97" s="305"/>
      <c r="AO97" s="305"/>
      <c r="AP97" s="305"/>
      <c r="AQ97" s="305"/>
      <c r="AR97" s="305"/>
      <c r="AS97" s="305"/>
      <c r="AT97" s="305"/>
      <c r="AU97" s="305"/>
      <c r="AV97" s="305"/>
    </row>
    <row r="98" spans="1:48" s="306" customFormat="1" ht="39" hidden="1">
      <c r="A98" s="304" t="s">
        <v>331</v>
      </c>
      <c r="B98" s="304" t="s">
        <v>708</v>
      </c>
      <c r="C98" s="341" t="s">
        <v>797</v>
      </c>
      <c r="D98" s="284"/>
      <c r="E98" s="284"/>
      <c r="F98" s="284"/>
      <c r="G98" s="284"/>
      <c r="H98" s="284"/>
      <c r="I98" s="284"/>
      <c r="J98" s="366">
        <v>0.5</v>
      </c>
      <c r="K98" s="370">
        <f t="shared" si="17"/>
        <v>3.5460992907801428E-2</v>
      </c>
      <c r="L98" s="371">
        <v>0.5</v>
      </c>
      <c r="M98" s="371">
        <v>0</v>
      </c>
      <c r="N98" s="366">
        <f t="shared" si="13"/>
        <v>0.5</v>
      </c>
      <c r="O98" s="370">
        <f t="shared" si="14"/>
        <v>0</v>
      </c>
      <c r="P98" s="370">
        <f t="shared" si="15"/>
        <v>0</v>
      </c>
      <c r="Q98" s="366">
        <f t="shared" si="18"/>
        <v>0.5</v>
      </c>
      <c r="R98" s="370">
        <f t="shared" si="12"/>
        <v>0</v>
      </c>
      <c r="S98" s="366">
        <f t="shared" si="19"/>
        <v>0</v>
      </c>
      <c r="T98" s="366">
        <v>0</v>
      </c>
      <c r="U98" s="370">
        <f t="shared" si="16"/>
        <v>0</v>
      </c>
      <c r="V98" s="370"/>
      <c r="W98" s="372"/>
      <c r="X98" s="370"/>
      <c r="Y98" s="370"/>
      <c r="Z98" s="370"/>
      <c r="AA98" s="370"/>
      <c r="AB98" s="370"/>
      <c r="AC98" s="370"/>
      <c r="AD98" s="370"/>
      <c r="AE98" s="370"/>
      <c r="AF98" s="370"/>
      <c r="AG98" s="370"/>
      <c r="AH98" s="370"/>
      <c r="AI98" s="370"/>
      <c r="AJ98" s="366"/>
      <c r="AK98" s="366"/>
      <c r="AL98" s="360"/>
      <c r="AM98" s="305" t="s">
        <v>823</v>
      </c>
      <c r="AN98" s="305"/>
      <c r="AO98" s="305"/>
      <c r="AP98" s="305"/>
      <c r="AQ98" s="305"/>
      <c r="AR98" s="305"/>
      <c r="AS98" s="305"/>
      <c r="AT98" s="305"/>
      <c r="AU98" s="305"/>
      <c r="AV98" s="305"/>
    </row>
    <row r="99" spans="1:48" s="306" customFormat="1" ht="39" hidden="1">
      <c r="A99" s="304" t="s">
        <v>333</v>
      </c>
      <c r="B99" s="304" t="s">
        <v>709</v>
      </c>
      <c r="C99" s="341" t="s">
        <v>797</v>
      </c>
      <c r="D99" s="284"/>
      <c r="E99" s="284"/>
      <c r="F99" s="284"/>
      <c r="G99" s="284"/>
      <c r="H99" s="284"/>
      <c r="I99" s="284"/>
      <c r="J99" s="366">
        <v>0.5</v>
      </c>
      <c r="K99" s="370">
        <f t="shared" si="17"/>
        <v>3.5460992907801428E-2</v>
      </c>
      <c r="L99" s="371">
        <v>0.5</v>
      </c>
      <c r="M99" s="371">
        <v>0</v>
      </c>
      <c r="N99" s="366">
        <f t="shared" si="13"/>
        <v>0.5</v>
      </c>
      <c r="O99" s="370">
        <f t="shared" si="14"/>
        <v>0</v>
      </c>
      <c r="P99" s="370">
        <f t="shared" si="15"/>
        <v>0</v>
      </c>
      <c r="Q99" s="366">
        <f t="shared" si="18"/>
        <v>0.5</v>
      </c>
      <c r="R99" s="370">
        <f t="shared" si="12"/>
        <v>0</v>
      </c>
      <c r="S99" s="366">
        <f t="shared" si="19"/>
        <v>0</v>
      </c>
      <c r="T99" s="366">
        <v>0</v>
      </c>
      <c r="U99" s="370">
        <f t="shared" si="16"/>
        <v>0</v>
      </c>
      <c r="V99" s="370"/>
      <c r="W99" s="372"/>
      <c r="X99" s="370"/>
      <c r="Y99" s="370"/>
      <c r="Z99" s="370"/>
      <c r="AA99" s="370"/>
      <c r="AB99" s="370"/>
      <c r="AC99" s="370"/>
      <c r="AD99" s="370"/>
      <c r="AE99" s="370"/>
      <c r="AF99" s="370"/>
      <c r="AG99" s="370"/>
      <c r="AH99" s="370"/>
      <c r="AI99" s="370"/>
      <c r="AJ99" s="366"/>
      <c r="AK99" s="366"/>
      <c r="AL99" s="360"/>
      <c r="AM99" s="305" t="s">
        <v>823</v>
      </c>
      <c r="AN99" s="305"/>
      <c r="AO99" s="305"/>
      <c r="AP99" s="305"/>
      <c r="AQ99" s="305"/>
      <c r="AR99" s="305"/>
      <c r="AS99" s="305"/>
      <c r="AT99" s="305"/>
      <c r="AU99" s="305"/>
      <c r="AV99" s="305"/>
    </row>
    <row r="100" spans="1:48" s="306" customFormat="1" ht="39" hidden="1">
      <c r="A100" s="304" t="s">
        <v>335</v>
      </c>
      <c r="B100" s="304" t="s">
        <v>710</v>
      </c>
      <c r="C100" s="341" t="s">
        <v>797</v>
      </c>
      <c r="D100" s="284"/>
      <c r="E100" s="284"/>
      <c r="F100" s="284"/>
      <c r="G100" s="284"/>
      <c r="H100" s="284"/>
      <c r="I100" s="284"/>
      <c r="J100" s="366">
        <v>0.5</v>
      </c>
      <c r="K100" s="370">
        <f t="shared" si="17"/>
        <v>3.5460992907801428E-2</v>
      </c>
      <c r="L100" s="371">
        <v>0.5</v>
      </c>
      <c r="M100" s="371">
        <v>0</v>
      </c>
      <c r="N100" s="366">
        <f t="shared" si="13"/>
        <v>0.5</v>
      </c>
      <c r="O100" s="370">
        <f t="shared" si="14"/>
        <v>0</v>
      </c>
      <c r="P100" s="370">
        <f t="shared" si="15"/>
        <v>0</v>
      </c>
      <c r="Q100" s="366">
        <f t="shared" si="18"/>
        <v>0.5</v>
      </c>
      <c r="R100" s="370">
        <f t="shared" si="12"/>
        <v>0</v>
      </c>
      <c r="S100" s="366">
        <f t="shared" si="19"/>
        <v>0</v>
      </c>
      <c r="T100" s="366">
        <v>0</v>
      </c>
      <c r="U100" s="370">
        <f t="shared" si="16"/>
        <v>0</v>
      </c>
      <c r="V100" s="370"/>
      <c r="W100" s="372"/>
      <c r="X100" s="370"/>
      <c r="Y100" s="370"/>
      <c r="Z100" s="370"/>
      <c r="AA100" s="370"/>
      <c r="AB100" s="370"/>
      <c r="AC100" s="370"/>
      <c r="AD100" s="370"/>
      <c r="AE100" s="370"/>
      <c r="AF100" s="370"/>
      <c r="AG100" s="370"/>
      <c r="AH100" s="370"/>
      <c r="AI100" s="370"/>
      <c r="AJ100" s="366"/>
      <c r="AK100" s="366"/>
      <c r="AL100" s="360"/>
      <c r="AM100" s="305" t="s">
        <v>823</v>
      </c>
      <c r="AN100" s="305"/>
      <c r="AO100" s="305"/>
      <c r="AP100" s="305"/>
      <c r="AQ100" s="305"/>
      <c r="AR100" s="305"/>
      <c r="AS100" s="305"/>
      <c r="AT100" s="305"/>
      <c r="AU100" s="305"/>
      <c r="AV100" s="305"/>
    </row>
    <row r="101" spans="1:48" s="306" customFormat="1" ht="58.5" hidden="1">
      <c r="A101" s="304" t="s">
        <v>337</v>
      </c>
      <c r="B101" s="304" t="s">
        <v>711</v>
      </c>
      <c r="C101" s="341" t="s">
        <v>797</v>
      </c>
      <c r="D101" s="284"/>
      <c r="E101" s="284"/>
      <c r="F101" s="284"/>
      <c r="G101" s="284"/>
      <c r="H101" s="284"/>
      <c r="I101" s="284"/>
      <c r="J101" s="366">
        <v>0.5</v>
      </c>
      <c r="K101" s="370">
        <f t="shared" si="17"/>
        <v>3.5460992907801428E-2</v>
      </c>
      <c r="L101" s="371">
        <v>0.5</v>
      </c>
      <c r="M101" s="371">
        <v>0</v>
      </c>
      <c r="N101" s="366">
        <f t="shared" si="13"/>
        <v>0.5</v>
      </c>
      <c r="O101" s="370">
        <f t="shared" si="14"/>
        <v>0</v>
      </c>
      <c r="P101" s="370">
        <f t="shared" si="15"/>
        <v>0</v>
      </c>
      <c r="Q101" s="366">
        <f t="shared" si="18"/>
        <v>0.5</v>
      </c>
      <c r="R101" s="370">
        <f t="shared" si="12"/>
        <v>0</v>
      </c>
      <c r="S101" s="366">
        <f t="shared" si="19"/>
        <v>0</v>
      </c>
      <c r="T101" s="366">
        <v>0</v>
      </c>
      <c r="U101" s="370">
        <f t="shared" si="16"/>
        <v>0</v>
      </c>
      <c r="V101" s="370"/>
      <c r="W101" s="372"/>
      <c r="X101" s="370"/>
      <c r="Y101" s="370"/>
      <c r="Z101" s="370"/>
      <c r="AA101" s="370"/>
      <c r="AB101" s="370"/>
      <c r="AC101" s="370"/>
      <c r="AD101" s="370"/>
      <c r="AE101" s="370"/>
      <c r="AF101" s="370"/>
      <c r="AG101" s="370"/>
      <c r="AH101" s="370"/>
      <c r="AI101" s="370"/>
      <c r="AJ101" s="366"/>
      <c r="AK101" s="366"/>
      <c r="AL101" s="360"/>
      <c r="AM101" s="305" t="s">
        <v>823</v>
      </c>
      <c r="AN101" s="305"/>
      <c r="AO101" s="305"/>
      <c r="AP101" s="305"/>
      <c r="AQ101" s="305"/>
      <c r="AR101" s="305"/>
      <c r="AS101" s="305"/>
      <c r="AT101" s="305"/>
      <c r="AU101" s="305"/>
      <c r="AV101" s="305"/>
    </row>
    <row r="102" spans="1:48" s="306" customFormat="1" ht="39" hidden="1">
      <c r="A102" s="304" t="s">
        <v>339</v>
      </c>
      <c r="B102" s="304" t="s">
        <v>712</v>
      </c>
      <c r="C102" s="341" t="s">
        <v>797</v>
      </c>
      <c r="D102" s="284"/>
      <c r="E102" s="284"/>
      <c r="F102" s="284"/>
      <c r="G102" s="284"/>
      <c r="H102" s="284"/>
      <c r="I102" s="284"/>
      <c r="J102" s="366">
        <v>0.5</v>
      </c>
      <c r="K102" s="370">
        <f t="shared" si="17"/>
        <v>0.27304964539007098</v>
      </c>
      <c r="L102" s="371">
        <v>3.85</v>
      </c>
      <c r="M102" s="371">
        <v>0</v>
      </c>
      <c r="N102" s="366">
        <f t="shared" si="13"/>
        <v>0.5</v>
      </c>
      <c r="O102" s="370">
        <f t="shared" si="14"/>
        <v>0</v>
      </c>
      <c r="P102" s="370">
        <f t="shared" si="15"/>
        <v>0</v>
      </c>
      <c r="Q102" s="366">
        <f t="shared" si="18"/>
        <v>0.5</v>
      </c>
      <c r="R102" s="370">
        <f t="shared" si="12"/>
        <v>0</v>
      </c>
      <c r="S102" s="366">
        <f t="shared" si="19"/>
        <v>0</v>
      </c>
      <c r="T102" s="366">
        <v>0</v>
      </c>
      <c r="U102" s="370">
        <f t="shared" si="16"/>
        <v>0</v>
      </c>
      <c r="V102" s="370"/>
      <c r="W102" s="372"/>
      <c r="X102" s="370"/>
      <c r="Y102" s="370"/>
      <c r="Z102" s="370"/>
      <c r="AA102" s="370"/>
      <c r="AB102" s="370"/>
      <c r="AC102" s="370"/>
      <c r="AD102" s="370"/>
      <c r="AE102" s="370"/>
      <c r="AF102" s="370"/>
      <c r="AG102" s="370"/>
      <c r="AH102" s="370"/>
      <c r="AI102" s="370"/>
      <c r="AJ102" s="366"/>
      <c r="AK102" s="366"/>
      <c r="AL102" s="360"/>
      <c r="AM102" s="305" t="s">
        <v>823</v>
      </c>
      <c r="AN102" s="305"/>
      <c r="AO102" s="305"/>
      <c r="AP102" s="305"/>
      <c r="AQ102" s="305"/>
      <c r="AR102" s="305"/>
      <c r="AS102" s="305"/>
      <c r="AT102" s="305"/>
      <c r="AU102" s="305"/>
      <c r="AV102" s="305"/>
    </row>
    <row r="103" spans="1:48" s="306" customFormat="1" ht="39" hidden="1">
      <c r="A103" s="304" t="s">
        <v>715</v>
      </c>
      <c r="B103" s="304" t="s">
        <v>713</v>
      </c>
      <c r="C103" s="341" t="s">
        <v>797</v>
      </c>
      <c r="D103" s="284"/>
      <c r="E103" s="284"/>
      <c r="F103" s="284"/>
      <c r="G103" s="284"/>
      <c r="H103" s="284"/>
      <c r="I103" s="284"/>
      <c r="J103" s="366">
        <v>1</v>
      </c>
      <c r="K103" s="370">
        <f t="shared" si="17"/>
        <v>0.35460992907801425</v>
      </c>
      <c r="L103" s="371">
        <v>5</v>
      </c>
      <c r="M103" s="371">
        <v>0</v>
      </c>
      <c r="N103" s="366">
        <f t="shared" si="13"/>
        <v>1</v>
      </c>
      <c r="O103" s="370">
        <f t="shared" si="14"/>
        <v>0</v>
      </c>
      <c r="P103" s="370">
        <f t="shared" si="15"/>
        <v>0</v>
      </c>
      <c r="Q103" s="366">
        <f t="shared" si="18"/>
        <v>1</v>
      </c>
      <c r="R103" s="370">
        <f t="shared" si="12"/>
        <v>0</v>
      </c>
      <c r="S103" s="366">
        <f t="shared" si="19"/>
        <v>0</v>
      </c>
      <c r="T103" s="366">
        <v>0</v>
      </c>
      <c r="U103" s="370">
        <f t="shared" si="16"/>
        <v>0</v>
      </c>
      <c r="V103" s="370"/>
      <c r="W103" s="372"/>
      <c r="X103" s="370"/>
      <c r="Y103" s="370"/>
      <c r="Z103" s="370"/>
      <c r="AA103" s="370"/>
      <c r="AB103" s="370"/>
      <c r="AC103" s="370"/>
      <c r="AD103" s="370"/>
      <c r="AE103" s="370"/>
      <c r="AF103" s="370"/>
      <c r="AG103" s="370"/>
      <c r="AH103" s="370"/>
      <c r="AI103" s="370"/>
      <c r="AJ103" s="366"/>
      <c r="AK103" s="366"/>
      <c r="AL103" s="360"/>
      <c r="AM103" s="305" t="s">
        <v>823</v>
      </c>
      <c r="AN103" s="305"/>
      <c r="AO103" s="305"/>
      <c r="AP103" s="305"/>
      <c r="AQ103" s="305"/>
      <c r="AR103" s="305"/>
      <c r="AS103" s="305"/>
      <c r="AT103" s="305"/>
      <c r="AU103" s="305"/>
      <c r="AV103" s="305"/>
    </row>
    <row r="104" spans="1:48" s="306" customFormat="1" ht="39" hidden="1">
      <c r="A104" s="304" t="s">
        <v>343</v>
      </c>
      <c r="B104" s="304" t="s">
        <v>714</v>
      </c>
      <c r="C104" s="341" t="s">
        <v>797</v>
      </c>
      <c r="D104" s="284"/>
      <c r="E104" s="284"/>
      <c r="F104" s="284"/>
      <c r="G104" s="284"/>
      <c r="H104" s="284"/>
      <c r="I104" s="284"/>
      <c r="J104" s="366">
        <v>1</v>
      </c>
      <c r="K104" s="370">
        <f t="shared" si="17"/>
        <v>7.0921985815602856E-2</v>
      </c>
      <c r="L104" s="371">
        <v>1</v>
      </c>
      <c r="M104" s="371">
        <v>0</v>
      </c>
      <c r="N104" s="366">
        <f t="shared" si="13"/>
        <v>1</v>
      </c>
      <c r="O104" s="370">
        <f t="shared" si="14"/>
        <v>0</v>
      </c>
      <c r="P104" s="370">
        <f t="shared" si="15"/>
        <v>0</v>
      </c>
      <c r="Q104" s="366">
        <f t="shared" si="18"/>
        <v>1</v>
      </c>
      <c r="R104" s="370">
        <f t="shared" si="12"/>
        <v>0</v>
      </c>
      <c r="S104" s="366">
        <f t="shared" si="19"/>
        <v>0</v>
      </c>
      <c r="T104" s="366">
        <v>0</v>
      </c>
      <c r="U104" s="370">
        <f t="shared" si="16"/>
        <v>0</v>
      </c>
      <c r="V104" s="370"/>
      <c r="W104" s="372"/>
      <c r="X104" s="370"/>
      <c r="Y104" s="370"/>
      <c r="Z104" s="370"/>
      <c r="AA104" s="370"/>
      <c r="AB104" s="370"/>
      <c r="AC104" s="370"/>
      <c r="AD104" s="370"/>
      <c r="AE104" s="370"/>
      <c r="AF104" s="370"/>
      <c r="AG104" s="370"/>
      <c r="AH104" s="370"/>
      <c r="AI104" s="370"/>
      <c r="AJ104" s="366"/>
      <c r="AK104" s="366"/>
      <c r="AL104" s="360"/>
      <c r="AM104" s="305" t="s">
        <v>823</v>
      </c>
      <c r="AN104" s="305"/>
      <c r="AO104" s="305"/>
      <c r="AP104" s="305"/>
      <c r="AQ104" s="305"/>
      <c r="AR104" s="305"/>
      <c r="AS104" s="305"/>
      <c r="AT104" s="305"/>
      <c r="AU104" s="305"/>
      <c r="AV104" s="305"/>
    </row>
    <row r="105" spans="1:48" s="306" customFormat="1" ht="58.5" hidden="1">
      <c r="A105" s="304" t="s">
        <v>716</v>
      </c>
      <c r="B105" s="304" t="s">
        <v>717</v>
      </c>
      <c r="C105" s="341" t="s">
        <v>797</v>
      </c>
      <c r="D105" s="284"/>
      <c r="E105" s="284"/>
      <c r="F105" s="284"/>
      <c r="G105" s="284"/>
      <c r="H105" s="284"/>
      <c r="I105" s="284"/>
      <c r="J105" s="366">
        <v>1</v>
      </c>
      <c r="K105" s="370">
        <f t="shared" si="17"/>
        <v>0.35460992907801425</v>
      </c>
      <c r="L105" s="371">
        <v>5</v>
      </c>
      <c r="M105" s="371">
        <v>0</v>
      </c>
      <c r="N105" s="366">
        <f t="shared" si="13"/>
        <v>1</v>
      </c>
      <c r="O105" s="370">
        <f t="shared" si="14"/>
        <v>0</v>
      </c>
      <c r="P105" s="370">
        <f t="shared" si="15"/>
        <v>0</v>
      </c>
      <c r="Q105" s="366">
        <f t="shared" si="18"/>
        <v>1</v>
      </c>
      <c r="R105" s="370">
        <f t="shared" si="12"/>
        <v>0</v>
      </c>
      <c r="S105" s="366">
        <f t="shared" si="19"/>
        <v>0</v>
      </c>
      <c r="T105" s="366">
        <v>0</v>
      </c>
      <c r="U105" s="370">
        <f t="shared" si="16"/>
        <v>0</v>
      </c>
      <c r="V105" s="370"/>
      <c r="W105" s="372"/>
      <c r="X105" s="370"/>
      <c r="Y105" s="370"/>
      <c r="Z105" s="370"/>
      <c r="AA105" s="370"/>
      <c r="AB105" s="370"/>
      <c r="AC105" s="370"/>
      <c r="AD105" s="370"/>
      <c r="AE105" s="370"/>
      <c r="AF105" s="370"/>
      <c r="AG105" s="370"/>
      <c r="AH105" s="370"/>
      <c r="AI105" s="370"/>
      <c r="AJ105" s="366"/>
      <c r="AK105" s="366"/>
      <c r="AL105" s="360"/>
      <c r="AM105" s="305" t="s">
        <v>823</v>
      </c>
      <c r="AN105" s="305"/>
      <c r="AO105" s="305"/>
      <c r="AP105" s="305"/>
      <c r="AQ105" s="305"/>
      <c r="AR105" s="305"/>
      <c r="AS105" s="305"/>
      <c r="AT105" s="305"/>
      <c r="AU105" s="305"/>
      <c r="AV105" s="305"/>
    </row>
    <row r="106" spans="1:48" s="306" customFormat="1" ht="78" hidden="1">
      <c r="A106" s="304" t="s">
        <v>718</v>
      </c>
      <c r="B106" s="304" t="s">
        <v>719</v>
      </c>
      <c r="C106" s="341" t="s">
        <v>797</v>
      </c>
      <c r="D106" s="284"/>
      <c r="E106" s="284"/>
      <c r="F106" s="284"/>
      <c r="G106" s="284"/>
      <c r="H106" s="284"/>
      <c r="I106" s="284"/>
      <c r="J106" s="366">
        <v>1</v>
      </c>
      <c r="K106" s="370">
        <f t="shared" si="17"/>
        <v>0.35460992907801425</v>
      </c>
      <c r="L106" s="371">
        <v>5</v>
      </c>
      <c r="M106" s="371">
        <v>0</v>
      </c>
      <c r="N106" s="366">
        <f t="shared" si="13"/>
        <v>1</v>
      </c>
      <c r="O106" s="370">
        <f t="shared" si="14"/>
        <v>0</v>
      </c>
      <c r="P106" s="370">
        <f t="shared" si="15"/>
        <v>0</v>
      </c>
      <c r="Q106" s="366">
        <f t="shared" si="18"/>
        <v>1</v>
      </c>
      <c r="R106" s="370">
        <f t="shared" si="12"/>
        <v>0</v>
      </c>
      <c r="S106" s="366">
        <f t="shared" si="19"/>
        <v>0</v>
      </c>
      <c r="T106" s="366">
        <v>0</v>
      </c>
      <c r="U106" s="370">
        <f t="shared" si="16"/>
        <v>0</v>
      </c>
      <c r="V106" s="370"/>
      <c r="W106" s="372"/>
      <c r="X106" s="370"/>
      <c r="Y106" s="370"/>
      <c r="Z106" s="370"/>
      <c r="AA106" s="370"/>
      <c r="AB106" s="370"/>
      <c r="AC106" s="370"/>
      <c r="AD106" s="370"/>
      <c r="AE106" s="370"/>
      <c r="AF106" s="370"/>
      <c r="AG106" s="370"/>
      <c r="AH106" s="370"/>
      <c r="AI106" s="370"/>
      <c r="AJ106" s="366"/>
      <c r="AK106" s="366"/>
      <c r="AL106" s="360"/>
      <c r="AM106" s="305" t="s">
        <v>823</v>
      </c>
      <c r="AN106" s="305"/>
      <c r="AO106" s="305"/>
      <c r="AP106" s="305"/>
      <c r="AQ106" s="305"/>
      <c r="AR106" s="305"/>
      <c r="AS106" s="305"/>
      <c r="AT106" s="305"/>
      <c r="AU106" s="305"/>
      <c r="AV106" s="305"/>
    </row>
    <row r="107" spans="1:48" s="306" customFormat="1" ht="39" hidden="1">
      <c r="A107" s="304" t="s">
        <v>345</v>
      </c>
      <c r="B107" s="304" t="s">
        <v>720</v>
      </c>
      <c r="C107" s="341" t="s">
        <v>797</v>
      </c>
      <c r="D107" s="284"/>
      <c r="E107" s="284"/>
      <c r="F107" s="284"/>
      <c r="G107" s="284"/>
      <c r="H107" s="284"/>
      <c r="I107" s="284"/>
      <c r="J107" s="366">
        <v>0.1</v>
      </c>
      <c r="K107" s="370">
        <f t="shared" si="17"/>
        <v>7.0921985815602853E-3</v>
      </c>
      <c r="L107" s="371">
        <v>0.1</v>
      </c>
      <c r="M107" s="371">
        <v>0</v>
      </c>
      <c r="N107" s="366">
        <f t="shared" si="13"/>
        <v>0.1</v>
      </c>
      <c r="O107" s="370">
        <f t="shared" si="14"/>
        <v>0</v>
      </c>
      <c r="P107" s="370">
        <f t="shared" si="15"/>
        <v>0</v>
      </c>
      <c r="Q107" s="366">
        <f t="shared" si="18"/>
        <v>0.1</v>
      </c>
      <c r="R107" s="370">
        <f t="shared" si="12"/>
        <v>0</v>
      </c>
      <c r="S107" s="366">
        <f t="shared" si="19"/>
        <v>0</v>
      </c>
      <c r="T107" s="366">
        <v>0</v>
      </c>
      <c r="U107" s="370">
        <f t="shared" si="16"/>
        <v>0</v>
      </c>
      <c r="V107" s="370"/>
      <c r="W107" s="372"/>
      <c r="X107" s="370"/>
      <c r="Y107" s="370"/>
      <c r="Z107" s="370"/>
      <c r="AA107" s="370"/>
      <c r="AB107" s="370"/>
      <c r="AC107" s="370"/>
      <c r="AD107" s="370"/>
      <c r="AE107" s="370"/>
      <c r="AF107" s="370"/>
      <c r="AG107" s="370"/>
      <c r="AH107" s="370"/>
      <c r="AI107" s="370"/>
      <c r="AJ107" s="366"/>
      <c r="AK107" s="366"/>
      <c r="AL107" s="360"/>
      <c r="AM107" s="305" t="s">
        <v>823</v>
      </c>
      <c r="AN107" s="305"/>
      <c r="AO107" s="305"/>
      <c r="AP107" s="305"/>
      <c r="AQ107" s="305"/>
      <c r="AR107" s="305"/>
      <c r="AS107" s="305"/>
      <c r="AT107" s="305"/>
      <c r="AU107" s="305"/>
      <c r="AV107" s="305"/>
    </row>
    <row r="108" spans="1:48" s="306" customFormat="1" ht="39" hidden="1">
      <c r="A108" s="304" t="s">
        <v>347</v>
      </c>
      <c r="B108" s="304" t="s">
        <v>721</v>
      </c>
      <c r="C108" s="341" t="s">
        <v>797</v>
      </c>
      <c r="D108" s="284"/>
      <c r="E108" s="284"/>
      <c r="F108" s="284"/>
      <c r="G108" s="284"/>
      <c r="H108" s="284"/>
      <c r="I108" s="284"/>
      <c r="J108" s="366">
        <v>1</v>
      </c>
      <c r="K108" s="370">
        <f t="shared" si="17"/>
        <v>7.0921985815602856E-2</v>
      </c>
      <c r="L108" s="371">
        <v>1</v>
      </c>
      <c r="M108" s="371">
        <v>0</v>
      </c>
      <c r="N108" s="366">
        <f t="shared" si="13"/>
        <v>1</v>
      </c>
      <c r="O108" s="370">
        <f t="shared" si="14"/>
        <v>0</v>
      </c>
      <c r="P108" s="370">
        <f t="shared" si="15"/>
        <v>0</v>
      </c>
      <c r="Q108" s="366">
        <f t="shared" si="18"/>
        <v>1</v>
      </c>
      <c r="R108" s="370">
        <f t="shared" si="12"/>
        <v>0</v>
      </c>
      <c r="S108" s="366">
        <f t="shared" si="19"/>
        <v>0</v>
      </c>
      <c r="T108" s="366">
        <v>0</v>
      </c>
      <c r="U108" s="370">
        <f t="shared" si="16"/>
        <v>0</v>
      </c>
      <c r="V108" s="370"/>
      <c r="W108" s="372"/>
      <c r="X108" s="370"/>
      <c r="Y108" s="370"/>
      <c r="Z108" s="370"/>
      <c r="AA108" s="370"/>
      <c r="AB108" s="370"/>
      <c r="AC108" s="370"/>
      <c r="AD108" s="370"/>
      <c r="AE108" s="370"/>
      <c r="AF108" s="370"/>
      <c r="AG108" s="370"/>
      <c r="AH108" s="370"/>
      <c r="AI108" s="370"/>
      <c r="AJ108" s="366"/>
      <c r="AK108" s="366"/>
      <c r="AL108" s="360"/>
      <c r="AM108" s="305" t="s">
        <v>823</v>
      </c>
      <c r="AN108" s="305"/>
      <c r="AO108" s="305"/>
      <c r="AP108" s="305"/>
      <c r="AQ108" s="305"/>
      <c r="AR108" s="305"/>
      <c r="AS108" s="305"/>
      <c r="AT108" s="305"/>
      <c r="AU108" s="305"/>
      <c r="AV108" s="305"/>
    </row>
    <row r="109" spans="1:48" s="306" customFormat="1" ht="58.5" hidden="1">
      <c r="A109" s="304" t="s">
        <v>349</v>
      </c>
      <c r="B109" s="304" t="s">
        <v>722</v>
      </c>
      <c r="C109" s="341" t="s">
        <v>797</v>
      </c>
      <c r="D109" s="284"/>
      <c r="E109" s="284"/>
      <c r="F109" s="284"/>
      <c r="G109" s="284"/>
      <c r="H109" s="284"/>
      <c r="I109" s="284"/>
      <c r="J109" s="366">
        <v>1</v>
      </c>
      <c r="K109" s="370">
        <f t="shared" si="17"/>
        <v>7.0921985815602856E-2</v>
      </c>
      <c r="L109" s="371">
        <v>1</v>
      </c>
      <c r="M109" s="371">
        <v>0</v>
      </c>
      <c r="N109" s="366">
        <f t="shared" si="13"/>
        <v>1</v>
      </c>
      <c r="O109" s="370">
        <f t="shared" si="14"/>
        <v>0</v>
      </c>
      <c r="P109" s="370">
        <f t="shared" si="15"/>
        <v>0</v>
      </c>
      <c r="Q109" s="366">
        <f t="shared" si="18"/>
        <v>1</v>
      </c>
      <c r="R109" s="370">
        <f t="shared" si="12"/>
        <v>0</v>
      </c>
      <c r="S109" s="366">
        <f t="shared" si="19"/>
        <v>0</v>
      </c>
      <c r="T109" s="366">
        <v>0</v>
      </c>
      <c r="U109" s="370">
        <f t="shared" si="16"/>
        <v>0</v>
      </c>
      <c r="V109" s="370"/>
      <c r="W109" s="372"/>
      <c r="X109" s="370"/>
      <c r="Y109" s="370"/>
      <c r="Z109" s="370"/>
      <c r="AA109" s="370"/>
      <c r="AB109" s="370"/>
      <c r="AC109" s="370"/>
      <c r="AD109" s="370"/>
      <c r="AE109" s="370"/>
      <c r="AF109" s="370"/>
      <c r="AG109" s="370"/>
      <c r="AH109" s="370"/>
      <c r="AI109" s="370"/>
      <c r="AJ109" s="366"/>
      <c r="AK109" s="366"/>
      <c r="AL109" s="360"/>
      <c r="AM109" s="305" t="s">
        <v>823</v>
      </c>
      <c r="AN109" s="305"/>
      <c r="AO109" s="305"/>
      <c r="AP109" s="305"/>
      <c r="AQ109" s="305"/>
      <c r="AR109" s="305"/>
      <c r="AS109" s="305"/>
      <c r="AT109" s="305"/>
      <c r="AU109" s="305"/>
      <c r="AV109" s="305"/>
    </row>
    <row r="110" spans="1:48" s="306" customFormat="1" ht="58.5" hidden="1">
      <c r="A110" s="304" t="s">
        <v>351</v>
      </c>
      <c r="B110" s="304" t="s">
        <v>723</v>
      </c>
      <c r="C110" s="341" t="s">
        <v>797</v>
      </c>
      <c r="D110" s="284"/>
      <c r="E110" s="284"/>
      <c r="F110" s="284"/>
      <c r="G110" s="284"/>
      <c r="H110" s="284"/>
      <c r="I110" s="284"/>
      <c r="J110" s="366">
        <v>5.55</v>
      </c>
      <c r="K110" s="370">
        <f t="shared" si="17"/>
        <v>0.39361702127659576</v>
      </c>
      <c r="L110" s="371">
        <v>5.55</v>
      </c>
      <c r="M110" s="371">
        <v>3.5</v>
      </c>
      <c r="N110" s="366">
        <f t="shared" si="13"/>
        <v>5.55</v>
      </c>
      <c r="O110" s="370">
        <f t="shared" si="14"/>
        <v>0.49645390070921996</v>
      </c>
      <c r="P110" s="370">
        <f t="shared" si="15"/>
        <v>3.5</v>
      </c>
      <c r="Q110" s="366">
        <f t="shared" si="18"/>
        <v>5.55</v>
      </c>
      <c r="R110" s="370">
        <f t="shared" si="12"/>
        <v>0.49645390070921996</v>
      </c>
      <c r="S110" s="366">
        <f t="shared" si="19"/>
        <v>100</v>
      </c>
      <c r="T110" s="366">
        <v>3.38</v>
      </c>
      <c r="U110" s="370">
        <f t="shared" si="16"/>
        <v>96.571428571428569</v>
      </c>
      <c r="V110" s="370"/>
      <c r="W110" s="372"/>
      <c r="X110" s="370"/>
      <c r="Y110" s="370"/>
      <c r="Z110" s="370"/>
      <c r="AA110" s="370"/>
      <c r="AB110" s="370"/>
      <c r="AC110" s="370"/>
      <c r="AD110" s="370"/>
      <c r="AE110" s="370"/>
      <c r="AF110" s="370"/>
      <c r="AG110" s="370"/>
      <c r="AH110" s="370"/>
      <c r="AI110" s="370"/>
      <c r="AJ110" s="366"/>
      <c r="AK110" s="366"/>
      <c r="AL110" s="360"/>
      <c r="AM110" s="305" t="s">
        <v>823</v>
      </c>
      <c r="AN110" s="305"/>
      <c r="AO110" s="305"/>
      <c r="AP110" s="305"/>
      <c r="AQ110" s="305"/>
      <c r="AR110" s="305"/>
      <c r="AS110" s="305"/>
      <c r="AT110" s="305"/>
      <c r="AU110" s="305"/>
      <c r="AV110" s="305"/>
    </row>
    <row r="111" spans="1:48" s="306" customFormat="1" ht="58.5" hidden="1">
      <c r="A111" s="304" t="s">
        <v>353</v>
      </c>
      <c r="B111" s="304" t="s">
        <v>724</v>
      </c>
      <c r="C111" s="341" t="s">
        <v>797</v>
      </c>
      <c r="D111" s="284"/>
      <c r="E111" s="284"/>
      <c r="F111" s="284"/>
      <c r="G111" s="284"/>
      <c r="H111" s="284"/>
      <c r="I111" s="284"/>
      <c r="J111" s="366">
        <v>1</v>
      </c>
      <c r="K111" s="370">
        <f t="shared" si="17"/>
        <v>7.0921985815602856E-2</v>
      </c>
      <c r="L111" s="371">
        <v>1</v>
      </c>
      <c r="M111" s="371">
        <v>0</v>
      </c>
      <c r="N111" s="366">
        <f t="shared" si="13"/>
        <v>1</v>
      </c>
      <c r="O111" s="370">
        <f t="shared" si="14"/>
        <v>0</v>
      </c>
      <c r="P111" s="370">
        <f t="shared" si="15"/>
        <v>0</v>
      </c>
      <c r="Q111" s="366">
        <f t="shared" si="18"/>
        <v>1</v>
      </c>
      <c r="R111" s="370">
        <f t="shared" si="12"/>
        <v>0</v>
      </c>
      <c r="S111" s="366">
        <f t="shared" si="19"/>
        <v>0</v>
      </c>
      <c r="T111" s="366">
        <v>0</v>
      </c>
      <c r="U111" s="370">
        <f t="shared" si="16"/>
        <v>0</v>
      </c>
      <c r="V111" s="370"/>
      <c r="W111" s="372"/>
      <c r="X111" s="370"/>
      <c r="Y111" s="370"/>
      <c r="Z111" s="370"/>
      <c r="AA111" s="370"/>
      <c r="AB111" s="370"/>
      <c r="AC111" s="370"/>
      <c r="AD111" s="370"/>
      <c r="AE111" s="370"/>
      <c r="AF111" s="370"/>
      <c r="AG111" s="370"/>
      <c r="AH111" s="370"/>
      <c r="AI111" s="370"/>
      <c r="AJ111" s="366"/>
      <c r="AK111" s="366"/>
      <c r="AL111" s="360"/>
      <c r="AM111" s="305" t="s">
        <v>823</v>
      </c>
      <c r="AN111" s="305"/>
      <c r="AO111" s="305"/>
      <c r="AP111" s="305"/>
      <c r="AQ111" s="305"/>
      <c r="AR111" s="305"/>
      <c r="AS111" s="305"/>
      <c r="AT111" s="305"/>
      <c r="AU111" s="305"/>
      <c r="AV111" s="305"/>
    </row>
    <row r="112" spans="1:48" s="306" customFormat="1" ht="58.5" hidden="1">
      <c r="A112" s="304" t="s">
        <v>355</v>
      </c>
      <c r="B112" s="304" t="s">
        <v>725</v>
      </c>
      <c r="C112" s="341" t="s">
        <v>797</v>
      </c>
      <c r="D112" s="284"/>
      <c r="E112" s="284"/>
      <c r="F112" s="284"/>
      <c r="G112" s="284"/>
      <c r="H112" s="284"/>
      <c r="I112" s="284"/>
      <c r="J112" s="366">
        <v>1</v>
      </c>
      <c r="K112" s="370">
        <f t="shared" si="17"/>
        <v>7.0921985815602856E-2</v>
      </c>
      <c r="L112" s="371">
        <v>1</v>
      </c>
      <c r="M112" s="371">
        <v>0</v>
      </c>
      <c r="N112" s="366">
        <f t="shared" si="13"/>
        <v>1</v>
      </c>
      <c r="O112" s="370">
        <f t="shared" si="14"/>
        <v>0</v>
      </c>
      <c r="P112" s="370">
        <f t="shared" si="15"/>
        <v>0</v>
      </c>
      <c r="Q112" s="366">
        <f t="shared" si="18"/>
        <v>1</v>
      </c>
      <c r="R112" s="370">
        <f t="shared" si="12"/>
        <v>0</v>
      </c>
      <c r="S112" s="366">
        <f t="shared" si="19"/>
        <v>0</v>
      </c>
      <c r="T112" s="366">
        <v>0</v>
      </c>
      <c r="U112" s="370">
        <f t="shared" si="16"/>
        <v>0</v>
      </c>
      <c r="V112" s="370"/>
      <c r="W112" s="372"/>
      <c r="X112" s="370"/>
      <c r="Y112" s="370"/>
      <c r="Z112" s="370"/>
      <c r="AA112" s="370"/>
      <c r="AB112" s="370"/>
      <c r="AC112" s="370"/>
      <c r="AD112" s="370"/>
      <c r="AE112" s="370"/>
      <c r="AF112" s="370"/>
      <c r="AG112" s="370"/>
      <c r="AH112" s="370"/>
      <c r="AI112" s="370"/>
      <c r="AJ112" s="366"/>
      <c r="AK112" s="366"/>
      <c r="AL112" s="360"/>
      <c r="AM112" s="305" t="s">
        <v>823</v>
      </c>
      <c r="AN112" s="305"/>
      <c r="AO112" s="305"/>
      <c r="AP112" s="305"/>
      <c r="AQ112" s="305"/>
      <c r="AR112" s="305"/>
      <c r="AS112" s="305"/>
      <c r="AT112" s="305"/>
      <c r="AU112" s="305"/>
      <c r="AV112" s="305"/>
    </row>
    <row r="113" spans="1:48" s="306" customFormat="1" ht="58.5" hidden="1">
      <c r="A113" s="304" t="s">
        <v>357</v>
      </c>
      <c r="B113" s="304" t="s">
        <v>726</v>
      </c>
      <c r="C113" s="341" t="s">
        <v>797</v>
      </c>
      <c r="D113" s="284"/>
      <c r="E113" s="284"/>
      <c r="F113" s="284"/>
      <c r="G113" s="284"/>
      <c r="H113" s="284"/>
      <c r="I113" s="284"/>
      <c r="J113" s="366">
        <v>1</v>
      </c>
      <c r="K113" s="370">
        <f t="shared" si="17"/>
        <v>7.0921985815602856E-2</v>
      </c>
      <c r="L113" s="371">
        <v>1</v>
      </c>
      <c r="M113" s="371">
        <v>0</v>
      </c>
      <c r="N113" s="366">
        <f t="shared" si="13"/>
        <v>1</v>
      </c>
      <c r="O113" s="370">
        <f t="shared" si="14"/>
        <v>0</v>
      </c>
      <c r="P113" s="370">
        <f t="shared" si="15"/>
        <v>0</v>
      </c>
      <c r="Q113" s="366">
        <f t="shared" si="18"/>
        <v>1</v>
      </c>
      <c r="R113" s="370">
        <f t="shared" si="12"/>
        <v>0</v>
      </c>
      <c r="S113" s="366">
        <f t="shared" si="19"/>
        <v>0</v>
      </c>
      <c r="T113" s="366">
        <v>0</v>
      </c>
      <c r="U113" s="370">
        <f t="shared" si="16"/>
        <v>0</v>
      </c>
      <c r="V113" s="370"/>
      <c r="W113" s="372"/>
      <c r="X113" s="370"/>
      <c r="Y113" s="370"/>
      <c r="Z113" s="370"/>
      <c r="AA113" s="370"/>
      <c r="AB113" s="370"/>
      <c r="AC113" s="370"/>
      <c r="AD113" s="370"/>
      <c r="AE113" s="370"/>
      <c r="AF113" s="370"/>
      <c r="AG113" s="370"/>
      <c r="AH113" s="370"/>
      <c r="AI113" s="370"/>
      <c r="AJ113" s="366"/>
      <c r="AK113" s="366"/>
      <c r="AL113" s="360"/>
      <c r="AM113" s="305" t="s">
        <v>823</v>
      </c>
      <c r="AN113" s="305"/>
      <c r="AO113" s="305"/>
      <c r="AP113" s="305"/>
      <c r="AQ113" s="305"/>
      <c r="AR113" s="305"/>
      <c r="AS113" s="305"/>
      <c r="AT113" s="305"/>
      <c r="AU113" s="305"/>
      <c r="AV113" s="305"/>
    </row>
    <row r="114" spans="1:48" s="306" customFormat="1" ht="39" hidden="1">
      <c r="A114" s="304" t="s">
        <v>359</v>
      </c>
      <c r="B114" s="304" t="s">
        <v>727</v>
      </c>
      <c r="C114" s="341" t="s">
        <v>797</v>
      </c>
      <c r="D114" s="284"/>
      <c r="E114" s="284"/>
      <c r="F114" s="284"/>
      <c r="G114" s="284"/>
      <c r="H114" s="284"/>
      <c r="I114" s="284"/>
      <c r="J114" s="366">
        <v>5</v>
      </c>
      <c r="K114" s="370">
        <f t="shared" si="17"/>
        <v>0.35460992907801425</v>
      </c>
      <c r="L114" s="371">
        <v>5</v>
      </c>
      <c r="M114" s="371">
        <v>5</v>
      </c>
      <c r="N114" s="366">
        <f t="shared" si="13"/>
        <v>5</v>
      </c>
      <c r="O114" s="370">
        <f t="shared" si="14"/>
        <v>0.7092198581560285</v>
      </c>
      <c r="P114" s="370">
        <f t="shared" si="15"/>
        <v>5</v>
      </c>
      <c r="Q114" s="366">
        <f t="shared" si="18"/>
        <v>5</v>
      </c>
      <c r="R114" s="370">
        <f t="shared" si="12"/>
        <v>0.7092198581560285</v>
      </c>
      <c r="S114" s="366">
        <f t="shared" si="19"/>
        <v>100</v>
      </c>
      <c r="T114" s="366">
        <v>4.91</v>
      </c>
      <c r="U114" s="370">
        <f t="shared" si="16"/>
        <v>98.2</v>
      </c>
      <c r="V114" s="370"/>
      <c r="W114" s="372"/>
      <c r="X114" s="370"/>
      <c r="Y114" s="370"/>
      <c r="Z114" s="370"/>
      <c r="AA114" s="370"/>
      <c r="AB114" s="370"/>
      <c r="AC114" s="370"/>
      <c r="AD114" s="370"/>
      <c r="AE114" s="370"/>
      <c r="AF114" s="370"/>
      <c r="AG114" s="370"/>
      <c r="AH114" s="370"/>
      <c r="AI114" s="370"/>
      <c r="AJ114" s="366"/>
      <c r="AK114" s="366"/>
      <c r="AL114" s="360"/>
      <c r="AM114" s="305" t="s">
        <v>823</v>
      </c>
      <c r="AN114" s="305"/>
      <c r="AO114" s="305"/>
      <c r="AP114" s="305"/>
      <c r="AQ114" s="305"/>
      <c r="AR114" s="305"/>
      <c r="AS114" s="305"/>
      <c r="AT114" s="305"/>
      <c r="AU114" s="305"/>
      <c r="AV114" s="305"/>
    </row>
    <row r="115" spans="1:48" s="306" customFormat="1" ht="31.15" hidden="1" customHeight="1">
      <c r="A115" s="304" t="s">
        <v>361</v>
      </c>
      <c r="B115" s="304" t="s">
        <v>728</v>
      </c>
      <c r="C115" s="341" t="s">
        <v>797</v>
      </c>
      <c r="D115" s="284"/>
      <c r="E115" s="284"/>
      <c r="F115" s="284"/>
      <c r="G115" s="284"/>
      <c r="H115" s="284"/>
      <c r="I115" s="284"/>
      <c r="J115" s="366">
        <v>0.5</v>
      </c>
      <c r="K115" s="370">
        <f t="shared" si="17"/>
        <v>0.24822695035460998</v>
      </c>
      <c r="L115" s="371">
        <v>3.5</v>
      </c>
      <c r="M115" s="371">
        <v>0</v>
      </c>
      <c r="N115" s="366">
        <f t="shared" si="13"/>
        <v>0.5</v>
      </c>
      <c r="O115" s="370">
        <f t="shared" si="14"/>
        <v>0</v>
      </c>
      <c r="P115" s="370">
        <f t="shared" si="15"/>
        <v>0</v>
      </c>
      <c r="Q115" s="366">
        <f t="shared" si="18"/>
        <v>0.5</v>
      </c>
      <c r="R115" s="370">
        <f t="shared" si="12"/>
        <v>0</v>
      </c>
      <c r="S115" s="366">
        <f t="shared" si="19"/>
        <v>0</v>
      </c>
      <c r="T115" s="366">
        <v>0</v>
      </c>
      <c r="U115" s="370">
        <f t="shared" si="16"/>
        <v>0</v>
      </c>
      <c r="V115" s="370"/>
      <c r="W115" s="372"/>
      <c r="X115" s="370"/>
      <c r="Y115" s="370"/>
      <c r="Z115" s="370"/>
      <c r="AA115" s="370"/>
      <c r="AB115" s="370"/>
      <c r="AC115" s="370"/>
      <c r="AD115" s="370"/>
      <c r="AE115" s="370"/>
      <c r="AF115" s="370"/>
      <c r="AG115" s="370"/>
      <c r="AH115" s="370"/>
      <c r="AI115" s="370"/>
      <c r="AJ115" s="366"/>
      <c r="AK115" s="366"/>
      <c r="AL115" s="360"/>
      <c r="AM115" s="305" t="s">
        <v>823</v>
      </c>
      <c r="AN115" s="305"/>
      <c r="AO115" s="305"/>
      <c r="AP115" s="305"/>
      <c r="AQ115" s="305"/>
      <c r="AR115" s="305"/>
      <c r="AS115" s="305"/>
      <c r="AT115" s="305"/>
      <c r="AU115" s="305"/>
      <c r="AV115" s="305"/>
    </row>
    <row r="116" spans="1:48" s="306" customFormat="1" ht="39" hidden="1">
      <c r="A116" s="304" t="s">
        <v>363</v>
      </c>
      <c r="B116" s="304" t="s">
        <v>729</v>
      </c>
      <c r="C116" s="341" t="s">
        <v>797</v>
      </c>
      <c r="D116" s="284"/>
      <c r="E116" s="284"/>
      <c r="F116" s="284"/>
      <c r="G116" s="284"/>
      <c r="H116" s="284"/>
      <c r="I116" s="284"/>
      <c r="J116" s="366">
        <v>5</v>
      </c>
      <c r="K116" s="370">
        <f t="shared" si="17"/>
        <v>0.35460992907801425</v>
      </c>
      <c r="L116" s="371">
        <v>5</v>
      </c>
      <c r="M116" s="371">
        <v>5</v>
      </c>
      <c r="N116" s="366">
        <f t="shared" si="13"/>
        <v>5</v>
      </c>
      <c r="O116" s="370">
        <f t="shared" si="14"/>
        <v>0.7092198581560285</v>
      </c>
      <c r="P116" s="370">
        <f t="shared" si="15"/>
        <v>5</v>
      </c>
      <c r="Q116" s="366">
        <f t="shared" si="18"/>
        <v>5</v>
      </c>
      <c r="R116" s="370">
        <f t="shared" si="12"/>
        <v>0.7092198581560285</v>
      </c>
      <c r="S116" s="366">
        <f t="shared" si="19"/>
        <v>100</v>
      </c>
      <c r="T116" s="366">
        <v>4.96</v>
      </c>
      <c r="U116" s="370">
        <f t="shared" si="16"/>
        <v>99.2</v>
      </c>
      <c r="V116" s="370"/>
      <c r="W116" s="372"/>
      <c r="X116" s="370"/>
      <c r="Y116" s="370"/>
      <c r="Z116" s="370"/>
      <c r="AA116" s="370"/>
      <c r="AB116" s="370"/>
      <c r="AC116" s="370"/>
      <c r="AD116" s="370"/>
      <c r="AE116" s="370"/>
      <c r="AF116" s="370"/>
      <c r="AG116" s="370"/>
      <c r="AH116" s="370"/>
      <c r="AI116" s="370"/>
      <c r="AJ116" s="366"/>
      <c r="AK116" s="366"/>
      <c r="AL116" s="360"/>
      <c r="AM116" s="305" t="s">
        <v>823</v>
      </c>
      <c r="AN116" s="305"/>
      <c r="AO116" s="305"/>
      <c r="AP116" s="305"/>
      <c r="AQ116" s="305"/>
      <c r="AR116" s="305"/>
      <c r="AS116" s="305"/>
      <c r="AT116" s="305"/>
      <c r="AU116" s="305"/>
      <c r="AV116" s="305"/>
    </row>
    <row r="117" spans="1:48" s="306" customFormat="1" ht="58.5" hidden="1">
      <c r="A117" s="304" t="s">
        <v>365</v>
      </c>
      <c r="B117" s="304" t="s">
        <v>730</v>
      </c>
      <c r="C117" s="341" t="s">
        <v>797</v>
      </c>
      <c r="D117" s="284"/>
      <c r="E117" s="284"/>
      <c r="F117" s="284"/>
      <c r="G117" s="284"/>
      <c r="H117" s="284"/>
      <c r="I117" s="284"/>
      <c r="J117" s="366">
        <v>1</v>
      </c>
      <c r="K117" s="370">
        <f t="shared" si="17"/>
        <v>7.0921985815602856E-2</v>
      </c>
      <c r="L117" s="371">
        <v>1</v>
      </c>
      <c r="M117" s="371">
        <v>0</v>
      </c>
      <c r="N117" s="366">
        <f t="shared" si="13"/>
        <v>1</v>
      </c>
      <c r="O117" s="370">
        <f t="shared" si="14"/>
        <v>0</v>
      </c>
      <c r="P117" s="370">
        <f t="shared" si="15"/>
        <v>0</v>
      </c>
      <c r="Q117" s="366">
        <f t="shared" si="18"/>
        <v>1</v>
      </c>
      <c r="R117" s="370">
        <f t="shared" si="12"/>
        <v>0</v>
      </c>
      <c r="S117" s="366">
        <f t="shared" si="19"/>
        <v>0</v>
      </c>
      <c r="T117" s="366">
        <v>0</v>
      </c>
      <c r="U117" s="370">
        <f t="shared" si="16"/>
        <v>0</v>
      </c>
      <c r="V117" s="370"/>
      <c r="W117" s="372"/>
      <c r="X117" s="370"/>
      <c r="Y117" s="370"/>
      <c r="Z117" s="370"/>
      <c r="AA117" s="370"/>
      <c r="AB117" s="370"/>
      <c r="AC117" s="370"/>
      <c r="AD117" s="370"/>
      <c r="AE117" s="370"/>
      <c r="AF117" s="370"/>
      <c r="AG117" s="370"/>
      <c r="AH117" s="370"/>
      <c r="AI117" s="370"/>
      <c r="AJ117" s="366"/>
      <c r="AK117" s="366"/>
      <c r="AL117" s="360"/>
      <c r="AM117" s="305" t="s">
        <v>823</v>
      </c>
      <c r="AN117" s="305"/>
      <c r="AO117" s="305"/>
      <c r="AP117" s="305"/>
      <c r="AQ117" s="305"/>
      <c r="AR117" s="305"/>
      <c r="AS117" s="305"/>
      <c r="AT117" s="305"/>
      <c r="AU117" s="305"/>
      <c r="AV117" s="305"/>
    </row>
    <row r="118" spans="1:48" s="306" customFormat="1" ht="39" hidden="1">
      <c r="A118" s="304" t="s">
        <v>367</v>
      </c>
      <c r="B118" s="304" t="s">
        <v>731</v>
      </c>
      <c r="C118" s="341" t="s">
        <v>797</v>
      </c>
      <c r="D118" s="284"/>
      <c r="E118" s="284"/>
      <c r="F118" s="284"/>
      <c r="G118" s="284"/>
      <c r="H118" s="284"/>
      <c r="I118" s="284"/>
      <c r="J118" s="366">
        <v>0.5</v>
      </c>
      <c r="K118" s="370">
        <f t="shared" si="17"/>
        <v>0.24822695035460998</v>
      </c>
      <c r="L118" s="371">
        <v>3.5</v>
      </c>
      <c r="M118" s="371">
        <v>3.5</v>
      </c>
      <c r="N118" s="366">
        <f t="shared" si="13"/>
        <v>0.5</v>
      </c>
      <c r="O118" s="370">
        <f t="shared" si="14"/>
        <v>0.49645390070921996</v>
      </c>
      <c r="P118" s="370">
        <f t="shared" si="15"/>
        <v>3.5</v>
      </c>
      <c r="Q118" s="366">
        <f t="shared" si="18"/>
        <v>0.5</v>
      </c>
      <c r="R118" s="370">
        <f t="shared" si="12"/>
        <v>0.49645390070921996</v>
      </c>
      <c r="S118" s="366">
        <f t="shared" si="19"/>
        <v>100</v>
      </c>
      <c r="T118" s="366">
        <v>3.5</v>
      </c>
      <c r="U118" s="370">
        <f t="shared" si="16"/>
        <v>100</v>
      </c>
      <c r="V118" s="370"/>
      <c r="W118" s="372"/>
      <c r="X118" s="370"/>
      <c r="Y118" s="370"/>
      <c r="Z118" s="370"/>
      <c r="AA118" s="370"/>
      <c r="AB118" s="370"/>
      <c r="AC118" s="370"/>
      <c r="AD118" s="370"/>
      <c r="AE118" s="370"/>
      <c r="AF118" s="370"/>
      <c r="AG118" s="370"/>
      <c r="AH118" s="370"/>
      <c r="AI118" s="370"/>
      <c r="AJ118" s="366"/>
      <c r="AK118" s="366"/>
      <c r="AL118" s="360"/>
      <c r="AM118" s="305" t="s">
        <v>823</v>
      </c>
      <c r="AN118" s="305"/>
      <c r="AO118" s="305"/>
      <c r="AP118" s="305"/>
      <c r="AQ118" s="305"/>
      <c r="AR118" s="305"/>
      <c r="AS118" s="305"/>
      <c r="AT118" s="305"/>
      <c r="AU118" s="305"/>
      <c r="AV118" s="305"/>
    </row>
    <row r="119" spans="1:48" s="306" customFormat="1" ht="58.5" hidden="1">
      <c r="A119" s="304" t="s">
        <v>369</v>
      </c>
      <c r="B119" s="304" t="s">
        <v>732</v>
      </c>
      <c r="C119" s="341" t="s">
        <v>797</v>
      </c>
      <c r="D119" s="284"/>
      <c r="E119" s="284"/>
      <c r="F119" s="284"/>
      <c r="G119" s="284"/>
      <c r="H119" s="284"/>
      <c r="I119" s="284"/>
      <c r="J119" s="366">
        <v>1</v>
      </c>
      <c r="K119" s="370">
        <f t="shared" si="17"/>
        <v>7.0921985815602856E-2</v>
      </c>
      <c r="L119" s="371">
        <v>1</v>
      </c>
      <c r="M119" s="371">
        <v>0</v>
      </c>
      <c r="N119" s="366">
        <f t="shared" si="13"/>
        <v>1</v>
      </c>
      <c r="O119" s="370">
        <f t="shared" si="14"/>
        <v>0</v>
      </c>
      <c r="P119" s="370">
        <f t="shared" si="15"/>
        <v>0</v>
      </c>
      <c r="Q119" s="366">
        <f t="shared" si="18"/>
        <v>1</v>
      </c>
      <c r="R119" s="370">
        <f t="shared" si="12"/>
        <v>0</v>
      </c>
      <c r="S119" s="366">
        <f t="shared" si="19"/>
        <v>0</v>
      </c>
      <c r="T119" s="366">
        <v>0</v>
      </c>
      <c r="U119" s="370">
        <f t="shared" si="16"/>
        <v>0</v>
      </c>
      <c r="V119" s="370"/>
      <c r="W119" s="372"/>
      <c r="X119" s="370"/>
      <c r="Y119" s="370"/>
      <c r="Z119" s="370"/>
      <c r="AA119" s="370"/>
      <c r="AB119" s="370"/>
      <c r="AC119" s="370"/>
      <c r="AD119" s="370"/>
      <c r="AE119" s="370"/>
      <c r="AF119" s="370"/>
      <c r="AG119" s="370"/>
      <c r="AH119" s="370"/>
      <c r="AI119" s="370"/>
      <c r="AJ119" s="366"/>
      <c r="AK119" s="366"/>
      <c r="AL119" s="360"/>
      <c r="AM119" s="305" t="s">
        <v>823</v>
      </c>
      <c r="AN119" s="305"/>
      <c r="AO119" s="305"/>
      <c r="AP119" s="305"/>
      <c r="AQ119" s="305"/>
      <c r="AR119" s="305"/>
      <c r="AS119" s="305"/>
      <c r="AT119" s="305"/>
      <c r="AU119" s="305"/>
      <c r="AV119" s="305"/>
    </row>
    <row r="120" spans="1:48" s="306" customFormat="1" ht="58.5" hidden="1">
      <c r="A120" s="304" t="s">
        <v>371</v>
      </c>
      <c r="B120" s="304" t="s">
        <v>733</v>
      </c>
      <c r="C120" s="341" t="s">
        <v>797</v>
      </c>
      <c r="D120" s="284"/>
      <c r="E120" s="284"/>
      <c r="F120" s="284"/>
      <c r="G120" s="284"/>
      <c r="H120" s="284"/>
      <c r="I120" s="284"/>
      <c r="J120" s="366">
        <v>2</v>
      </c>
      <c r="K120" s="370">
        <f t="shared" si="17"/>
        <v>0.14184397163120571</v>
      </c>
      <c r="L120" s="371">
        <v>2</v>
      </c>
      <c r="M120" s="371">
        <v>0</v>
      </c>
      <c r="N120" s="366">
        <f t="shared" si="13"/>
        <v>2</v>
      </c>
      <c r="O120" s="370">
        <f t="shared" si="14"/>
        <v>0</v>
      </c>
      <c r="P120" s="370">
        <f t="shared" si="15"/>
        <v>0</v>
      </c>
      <c r="Q120" s="366">
        <f t="shared" si="18"/>
        <v>2</v>
      </c>
      <c r="R120" s="370">
        <f t="shared" si="12"/>
        <v>0</v>
      </c>
      <c r="S120" s="366">
        <f t="shared" si="19"/>
        <v>0</v>
      </c>
      <c r="T120" s="366">
        <v>0</v>
      </c>
      <c r="U120" s="370">
        <f t="shared" si="16"/>
        <v>0</v>
      </c>
      <c r="V120" s="370"/>
      <c r="W120" s="372"/>
      <c r="X120" s="370"/>
      <c r="Y120" s="370"/>
      <c r="Z120" s="370"/>
      <c r="AA120" s="370"/>
      <c r="AB120" s="370"/>
      <c r="AC120" s="370"/>
      <c r="AD120" s="370"/>
      <c r="AE120" s="370"/>
      <c r="AF120" s="370"/>
      <c r="AG120" s="370"/>
      <c r="AH120" s="370"/>
      <c r="AI120" s="370"/>
      <c r="AJ120" s="366"/>
      <c r="AK120" s="366"/>
      <c r="AL120" s="360"/>
      <c r="AM120" s="305" t="s">
        <v>823</v>
      </c>
      <c r="AN120" s="305"/>
      <c r="AO120" s="305"/>
      <c r="AP120" s="305"/>
      <c r="AQ120" s="305"/>
      <c r="AR120" s="305"/>
      <c r="AS120" s="305"/>
      <c r="AT120" s="305"/>
      <c r="AU120" s="305"/>
      <c r="AV120" s="305"/>
    </row>
    <row r="121" spans="1:48" s="306" customFormat="1" ht="58.5" hidden="1">
      <c r="A121" s="304" t="s">
        <v>373</v>
      </c>
      <c r="B121" s="304" t="s">
        <v>734</v>
      </c>
      <c r="C121" s="341" t="s">
        <v>797</v>
      </c>
      <c r="D121" s="284"/>
      <c r="E121" s="284"/>
      <c r="F121" s="284"/>
      <c r="G121" s="284"/>
      <c r="H121" s="284"/>
      <c r="I121" s="284"/>
      <c r="J121" s="366">
        <v>0.5</v>
      </c>
      <c r="K121" s="370">
        <f t="shared" si="17"/>
        <v>0.24822695035460998</v>
      </c>
      <c r="L121" s="371">
        <v>3.5</v>
      </c>
      <c r="M121" s="371">
        <v>0</v>
      </c>
      <c r="N121" s="366">
        <f t="shared" si="13"/>
        <v>0.5</v>
      </c>
      <c r="O121" s="370">
        <f t="shared" si="14"/>
        <v>0</v>
      </c>
      <c r="P121" s="370">
        <f t="shared" si="15"/>
        <v>0</v>
      </c>
      <c r="Q121" s="366">
        <f t="shared" si="18"/>
        <v>0.5</v>
      </c>
      <c r="R121" s="370">
        <f t="shared" si="12"/>
        <v>0</v>
      </c>
      <c r="S121" s="366">
        <f t="shared" si="19"/>
        <v>0</v>
      </c>
      <c r="T121" s="366">
        <v>0</v>
      </c>
      <c r="U121" s="370">
        <f t="shared" si="16"/>
        <v>0</v>
      </c>
      <c r="V121" s="370"/>
      <c r="W121" s="372"/>
      <c r="X121" s="370"/>
      <c r="Y121" s="370"/>
      <c r="Z121" s="370"/>
      <c r="AA121" s="370"/>
      <c r="AB121" s="370"/>
      <c r="AC121" s="370"/>
      <c r="AD121" s="370"/>
      <c r="AE121" s="370"/>
      <c r="AF121" s="370"/>
      <c r="AG121" s="370"/>
      <c r="AH121" s="370"/>
      <c r="AI121" s="370"/>
      <c r="AJ121" s="366"/>
      <c r="AK121" s="366"/>
      <c r="AL121" s="360"/>
      <c r="AM121" s="305" t="s">
        <v>823</v>
      </c>
      <c r="AN121" s="305"/>
      <c r="AO121" s="305"/>
      <c r="AP121" s="305"/>
      <c r="AQ121" s="305"/>
      <c r="AR121" s="305"/>
      <c r="AS121" s="305"/>
      <c r="AT121" s="305"/>
      <c r="AU121" s="305"/>
      <c r="AV121" s="305"/>
    </row>
    <row r="122" spans="1:48" s="306" customFormat="1" ht="39" hidden="1">
      <c r="A122" s="304" t="s">
        <v>377</v>
      </c>
      <c r="B122" s="304" t="s">
        <v>735</v>
      </c>
      <c r="C122" s="341" t="s">
        <v>797</v>
      </c>
      <c r="D122" s="284"/>
      <c r="E122" s="284"/>
      <c r="F122" s="284"/>
      <c r="G122" s="284"/>
      <c r="H122" s="284"/>
      <c r="I122" s="284"/>
      <c r="J122" s="366">
        <v>1</v>
      </c>
      <c r="K122" s="370">
        <f t="shared" si="17"/>
        <v>7.0921985815602856E-2</v>
      </c>
      <c r="L122" s="371">
        <v>1</v>
      </c>
      <c r="M122" s="371">
        <v>0</v>
      </c>
      <c r="N122" s="366">
        <f t="shared" si="13"/>
        <v>1</v>
      </c>
      <c r="O122" s="370">
        <f t="shared" si="14"/>
        <v>0</v>
      </c>
      <c r="P122" s="370">
        <f t="shared" si="15"/>
        <v>0</v>
      </c>
      <c r="Q122" s="366">
        <f t="shared" si="18"/>
        <v>1</v>
      </c>
      <c r="R122" s="370">
        <f t="shared" si="12"/>
        <v>0</v>
      </c>
      <c r="S122" s="366">
        <f t="shared" si="19"/>
        <v>0</v>
      </c>
      <c r="T122" s="366">
        <v>0</v>
      </c>
      <c r="U122" s="370">
        <f t="shared" si="16"/>
        <v>0</v>
      </c>
      <c r="V122" s="370"/>
      <c r="W122" s="372"/>
      <c r="X122" s="370"/>
      <c r="Y122" s="370"/>
      <c r="Z122" s="370"/>
      <c r="AA122" s="370"/>
      <c r="AB122" s="370"/>
      <c r="AC122" s="370"/>
      <c r="AD122" s="370"/>
      <c r="AE122" s="370"/>
      <c r="AF122" s="370"/>
      <c r="AG122" s="370"/>
      <c r="AH122" s="370"/>
      <c r="AI122" s="370"/>
      <c r="AJ122" s="366"/>
      <c r="AK122" s="366"/>
      <c r="AL122" s="360"/>
      <c r="AM122" s="305" t="s">
        <v>823</v>
      </c>
      <c r="AN122" s="305"/>
      <c r="AO122" s="305"/>
      <c r="AP122" s="305"/>
      <c r="AQ122" s="305"/>
      <c r="AR122" s="305"/>
      <c r="AS122" s="305"/>
      <c r="AT122" s="305"/>
      <c r="AU122" s="305"/>
      <c r="AV122" s="305"/>
    </row>
    <row r="123" spans="1:48" s="306" customFormat="1" ht="39" hidden="1">
      <c r="A123" s="304" t="s">
        <v>379</v>
      </c>
      <c r="B123" s="304" t="s">
        <v>736</v>
      </c>
      <c r="C123" s="341" t="s">
        <v>797</v>
      </c>
      <c r="D123" s="284"/>
      <c r="E123" s="284"/>
      <c r="F123" s="284"/>
      <c r="G123" s="284"/>
      <c r="H123" s="284"/>
      <c r="I123" s="284"/>
      <c r="J123" s="366">
        <v>1</v>
      </c>
      <c r="K123" s="370">
        <f t="shared" si="17"/>
        <v>7.0921985815602856E-2</v>
      </c>
      <c r="L123" s="371">
        <v>1</v>
      </c>
      <c r="M123" s="371">
        <v>0</v>
      </c>
      <c r="N123" s="366">
        <f t="shared" si="13"/>
        <v>1</v>
      </c>
      <c r="O123" s="370">
        <f t="shared" si="14"/>
        <v>0</v>
      </c>
      <c r="P123" s="370">
        <f t="shared" si="15"/>
        <v>0</v>
      </c>
      <c r="Q123" s="366">
        <f t="shared" si="18"/>
        <v>1</v>
      </c>
      <c r="R123" s="370">
        <f t="shared" si="12"/>
        <v>0</v>
      </c>
      <c r="S123" s="366">
        <f t="shared" si="19"/>
        <v>0</v>
      </c>
      <c r="T123" s="366">
        <v>0</v>
      </c>
      <c r="U123" s="370">
        <f t="shared" si="16"/>
        <v>0</v>
      </c>
      <c r="V123" s="370"/>
      <c r="W123" s="372"/>
      <c r="X123" s="370"/>
      <c r="Y123" s="370"/>
      <c r="Z123" s="370"/>
      <c r="AA123" s="370"/>
      <c r="AB123" s="370"/>
      <c r="AC123" s="370"/>
      <c r="AD123" s="370"/>
      <c r="AE123" s="370"/>
      <c r="AF123" s="370"/>
      <c r="AG123" s="370"/>
      <c r="AH123" s="370"/>
      <c r="AI123" s="370"/>
      <c r="AJ123" s="366"/>
      <c r="AK123" s="366"/>
      <c r="AL123" s="360"/>
      <c r="AM123" s="305" t="s">
        <v>823</v>
      </c>
      <c r="AN123" s="305"/>
      <c r="AO123" s="305"/>
      <c r="AP123" s="305"/>
      <c r="AQ123" s="305"/>
      <c r="AR123" s="305"/>
      <c r="AS123" s="305"/>
      <c r="AT123" s="305"/>
      <c r="AU123" s="305"/>
      <c r="AV123" s="305"/>
    </row>
    <row r="124" spans="1:48" s="306" customFormat="1" ht="39" hidden="1">
      <c r="A124" s="304" t="s">
        <v>381</v>
      </c>
      <c r="B124" s="304" t="s">
        <v>737</v>
      </c>
      <c r="C124" s="341" t="s">
        <v>797</v>
      </c>
      <c r="D124" s="284"/>
      <c r="E124" s="284"/>
      <c r="F124" s="284"/>
      <c r="G124" s="284"/>
      <c r="H124" s="284"/>
      <c r="I124" s="284"/>
      <c r="J124" s="366">
        <v>5</v>
      </c>
      <c r="K124" s="370">
        <f t="shared" si="17"/>
        <v>0.17730496453900713</v>
      </c>
      <c r="L124" s="371">
        <v>2.5</v>
      </c>
      <c r="M124" s="371">
        <v>0</v>
      </c>
      <c r="N124" s="366">
        <f t="shared" si="13"/>
        <v>5</v>
      </c>
      <c r="O124" s="370">
        <f t="shared" si="14"/>
        <v>0</v>
      </c>
      <c r="P124" s="370">
        <f t="shared" si="15"/>
        <v>0</v>
      </c>
      <c r="Q124" s="366">
        <f t="shared" si="18"/>
        <v>5</v>
      </c>
      <c r="R124" s="370">
        <f t="shared" si="12"/>
        <v>0</v>
      </c>
      <c r="S124" s="366">
        <f t="shared" si="19"/>
        <v>0</v>
      </c>
      <c r="T124" s="366">
        <v>0</v>
      </c>
      <c r="U124" s="370">
        <f t="shared" si="16"/>
        <v>0</v>
      </c>
      <c r="V124" s="370"/>
      <c r="W124" s="372"/>
      <c r="X124" s="370"/>
      <c r="Y124" s="370"/>
      <c r="Z124" s="370"/>
      <c r="AA124" s="370"/>
      <c r="AB124" s="370"/>
      <c r="AC124" s="370"/>
      <c r="AD124" s="370"/>
      <c r="AE124" s="370"/>
      <c r="AF124" s="370"/>
      <c r="AG124" s="370"/>
      <c r="AH124" s="370"/>
      <c r="AI124" s="370"/>
      <c r="AJ124" s="366"/>
      <c r="AK124" s="366"/>
      <c r="AL124" s="360"/>
      <c r="AM124" s="305" t="s">
        <v>823</v>
      </c>
      <c r="AN124" s="305"/>
      <c r="AO124" s="305"/>
      <c r="AP124" s="305"/>
      <c r="AQ124" s="305"/>
      <c r="AR124" s="305"/>
      <c r="AS124" s="305"/>
      <c r="AT124" s="305"/>
      <c r="AU124" s="305"/>
      <c r="AV124" s="305"/>
    </row>
    <row r="125" spans="1:48" s="306" customFormat="1" ht="39" hidden="1">
      <c r="A125" s="304" t="s">
        <v>383</v>
      </c>
      <c r="B125" s="304" t="s">
        <v>738</v>
      </c>
      <c r="C125" s="341" t="s">
        <v>797</v>
      </c>
      <c r="D125" s="284"/>
      <c r="E125" s="284"/>
      <c r="F125" s="284"/>
      <c r="G125" s="284"/>
      <c r="H125" s="284"/>
      <c r="I125" s="284"/>
      <c r="J125" s="366">
        <v>1</v>
      </c>
      <c r="K125" s="370">
        <f t="shared" si="17"/>
        <v>0</v>
      </c>
      <c r="L125" s="371">
        <v>0</v>
      </c>
      <c r="M125" s="371">
        <v>0</v>
      </c>
      <c r="N125" s="366">
        <f t="shared" si="13"/>
        <v>1</v>
      </c>
      <c r="O125" s="370">
        <f t="shared" si="14"/>
        <v>0</v>
      </c>
      <c r="P125" s="370">
        <f t="shared" si="15"/>
        <v>0</v>
      </c>
      <c r="Q125" s="366">
        <f t="shared" si="18"/>
        <v>1</v>
      </c>
      <c r="R125" s="370">
        <f t="shared" si="12"/>
        <v>0</v>
      </c>
      <c r="S125" s="366">
        <v>0</v>
      </c>
      <c r="T125" s="366">
        <v>0</v>
      </c>
      <c r="U125" s="370">
        <f t="shared" si="16"/>
        <v>0</v>
      </c>
      <c r="V125" s="370"/>
      <c r="W125" s="372"/>
      <c r="X125" s="370"/>
      <c r="Y125" s="370"/>
      <c r="Z125" s="370"/>
      <c r="AA125" s="370"/>
      <c r="AB125" s="370"/>
      <c r="AC125" s="370"/>
      <c r="AD125" s="370"/>
      <c r="AE125" s="370"/>
      <c r="AF125" s="370"/>
      <c r="AG125" s="370"/>
      <c r="AH125" s="370"/>
      <c r="AI125" s="370"/>
      <c r="AJ125" s="366"/>
      <c r="AK125" s="366"/>
      <c r="AL125" s="360"/>
      <c r="AM125" s="305" t="s">
        <v>823</v>
      </c>
      <c r="AN125" s="305"/>
      <c r="AO125" s="305"/>
      <c r="AP125" s="305"/>
      <c r="AQ125" s="305"/>
      <c r="AR125" s="305"/>
      <c r="AS125" s="305"/>
      <c r="AT125" s="305"/>
      <c r="AU125" s="305"/>
      <c r="AV125" s="305"/>
    </row>
    <row r="126" spans="1:48" s="306" customFormat="1" ht="58.5" hidden="1">
      <c r="A126" s="304" t="s">
        <v>385</v>
      </c>
      <c r="B126" s="304" t="s">
        <v>739</v>
      </c>
      <c r="C126" s="341" t="s">
        <v>797</v>
      </c>
      <c r="D126" s="284"/>
      <c r="E126" s="284"/>
      <c r="F126" s="284"/>
      <c r="G126" s="284"/>
      <c r="H126" s="284"/>
      <c r="I126" s="284"/>
      <c r="J126" s="366">
        <v>1</v>
      </c>
      <c r="K126" s="370">
        <f t="shared" si="17"/>
        <v>0</v>
      </c>
      <c r="L126" s="371">
        <v>0</v>
      </c>
      <c r="M126" s="371">
        <v>0</v>
      </c>
      <c r="N126" s="366">
        <f t="shared" si="13"/>
        <v>1</v>
      </c>
      <c r="O126" s="370">
        <f t="shared" si="14"/>
        <v>0</v>
      </c>
      <c r="P126" s="370">
        <f t="shared" si="15"/>
        <v>0</v>
      </c>
      <c r="Q126" s="366">
        <f t="shared" si="18"/>
        <v>1</v>
      </c>
      <c r="R126" s="370">
        <f t="shared" si="12"/>
        <v>0</v>
      </c>
      <c r="S126" s="366">
        <v>0</v>
      </c>
      <c r="T126" s="366">
        <v>0</v>
      </c>
      <c r="U126" s="370">
        <f t="shared" si="16"/>
        <v>0</v>
      </c>
      <c r="V126" s="370"/>
      <c r="W126" s="372"/>
      <c r="X126" s="370"/>
      <c r="Y126" s="370"/>
      <c r="Z126" s="370"/>
      <c r="AA126" s="370"/>
      <c r="AB126" s="370"/>
      <c r="AC126" s="370"/>
      <c r="AD126" s="370"/>
      <c r="AE126" s="370"/>
      <c r="AF126" s="370"/>
      <c r="AG126" s="370"/>
      <c r="AH126" s="370"/>
      <c r="AI126" s="370"/>
      <c r="AJ126" s="366"/>
      <c r="AK126" s="366"/>
      <c r="AL126" s="360"/>
      <c r="AM126" s="305" t="s">
        <v>823</v>
      </c>
      <c r="AN126" s="305"/>
      <c r="AO126" s="305"/>
      <c r="AP126" s="305"/>
      <c r="AQ126" s="305"/>
      <c r="AR126" s="305"/>
      <c r="AS126" s="305"/>
      <c r="AT126" s="305"/>
      <c r="AU126" s="305"/>
      <c r="AV126" s="305"/>
    </row>
    <row r="127" spans="1:48" s="306" customFormat="1" ht="58.5" hidden="1">
      <c r="A127" s="304" t="s">
        <v>387</v>
      </c>
      <c r="B127" s="304" t="s">
        <v>740</v>
      </c>
      <c r="C127" s="341" t="s">
        <v>797</v>
      </c>
      <c r="D127" s="284"/>
      <c r="E127" s="284"/>
      <c r="F127" s="284"/>
      <c r="G127" s="284"/>
      <c r="H127" s="284"/>
      <c r="I127" s="284"/>
      <c r="J127" s="366">
        <v>5</v>
      </c>
      <c r="K127" s="370">
        <f t="shared" si="17"/>
        <v>0.35460992907801425</v>
      </c>
      <c r="L127" s="371">
        <v>5</v>
      </c>
      <c r="M127" s="371">
        <v>5</v>
      </c>
      <c r="N127" s="366">
        <f t="shared" si="13"/>
        <v>5</v>
      </c>
      <c r="O127" s="370">
        <f t="shared" si="14"/>
        <v>0.7092198581560285</v>
      </c>
      <c r="P127" s="370">
        <f t="shared" si="15"/>
        <v>5</v>
      </c>
      <c r="Q127" s="366">
        <f t="shared" si="18"/>
        <v>5</v>
      </c>
      <c r="R127" s="370">
        <f t="shared" si="12"/>
        <v>0.7092198581560285</v>
      </c>
      <c r="S127" s="366">
        <f t="shared" ref="S127:S134" si="20">ROUND(IF(O127=0,R127/K127*100,R127/O127*100),2)</f>
        <v>100</v>
      </c>
      <c r="T127" s="366">
        <v>4.7699999999999996</v>
      </c>
      <c r="U127" s="370">
        <f t="shared" si="16"/>
        <v>95.399999999999991</v>
      </c>
      <c r="V127" s="370"/>
      <c r="W127" s="372"/>
      <c r="X127" s="370"/>
      <c r="Y127" s="370"/>
      <c r="Z127" s="370"/>
      <c r="AA127" s="370"/>
      <c r="AB127" s="370"/>
      <c r="AC127" s="370"/>
      <c r="AD127" s="370"/>
      <c r="AE127" s="370"/>
      <c r="AF127" s="370"/>
      <c r="AG127" s="370"/>
      <c r="AH127" s="370"/>
      <c r="AI127" s="370"/>
      <c r="AJ127" s="366"/>
      <c r="AK127" s="366"/>
      <c r="AL127" s="360"/>
      <c r="AM127" s="305" t="s">
        <v>823</v>
      </c>
      <c r="AN127" s="305"/>
      <c r="AO127" s="305"/>
      <c r="AP127" s="305"/>
      <c r="AQ127" s="305"/>
      <c r="AR127" s="305"/>
      <c r="AS127" s="305"/>
      <c r="AT127" s="305"/>
      <c r="AU127" s="305"/>
      <c r="AV127" s="305"/>
    </row>
    <row r="128" spans="1:48" s="306" customFormat="1" ht="39" hidden="1">
      <c r="A128" s="304" t="s">
        <v>537</v>
      </c>
      <c r="B128" s="304" t="s">
        <v>741</v>
      </c>
      <c r="C128" s="340" t="s">
        <v>794</v>
      </c>
      <c r="D128" s="284"/>
      <c r="E128" s="284"/>
      <c r="F128" s="284"/>
      <c r="G128" s="284"/>
      <c r="H128" s="284"/>
      <c r="I128" s="284"/>
      <c r="J128" s="366">
        <v>4</v>
      </c>
      <c r="K128" s="370">
        <f t="shared" si="17"/>
        <v>4.9645390070921991</v>
      </c>
      <c r="L128" s="371">
        <v>70</v>
      </c>
      <c r="M128" s="371">
        <v>0</v>
      </c>
      <c r="N128" s="366">
        <f t="shared" si="13"/>
        <v>4</v>
      </c>
      <c r="O128" s="370">
        <f t="shared" si="14"/>
        <v>0</v>
      </c>
      <c r="P128" s="370">
        <f t="shared" si="15"/>
        <v>0</v>
      </c>
      <c r="Q128" s="366">
        <f t="shared" si="18"/>
        <v>4</v>
      </c>
      <c r="R128" s="370">
        <f t="shared" si="12"/>
        <v>0</v>
      </c>
      <c r="S128" s="366">
        <f t="shared" si="20"/>
        <v>0</v>
      </c>
      <c r="T128" s="366">
        <v>0</v>
      </c>
      <c r="U128" s="370">
        <f t="shared" si="16"/>
        <v>0</v>
      </c>
      <c r="V128" s="370"/>
      <c r="W128" s="372"/>
      <c r="X128" s="370"/>
      <c r="Y128" s="370"/>
      <c r="Z128" s="370"/>
      <c r="AA128" s="370"/>
      <c r="AB128" s="370"/>
      <c r="AC128" s="370"/>
      <c r="AD128" s="370"/>
      <c r="AE128" s="370"/>
      <c r="AF128" s="370"/>
      <c r="AG128" s="370"/>
      <c r="AH128" s="370"/>
      <c r="AI128" s="370"/>
      <c r="AJ128" s="366"/>
      <c r="AK128" s="366"/>
      <c r="AL128" s="360"/>
      <c r="AM128" s="305" t="s">
        <v>823</v>
      </c>
      <c r="AN128" s="305"/>
      <c r="AO128" s="305"/>
      <c r="AP128" s="305"/>
      <c r="AQ128" s="305"/>
      <c r="AR128" s="305"/>
      <c r="AS128" s="305"/>
      <c r="AT128" s="305"/>
      <c r="AU128" s="305"/>
      <c r="AV128" s="305"/>
    </row>
    <row r="129" spans="1:48" s="306" customFormat="1" ht="58.5" hidden="1">
      <c r="A129" s="304" t="s">
        <v>389</v>
      </c>
      <c r="B129" s="304" t="s">
        <v>742</v>
      </c>
      <c r="C129" s="341" t="s">
        <v>797</v>
      </c>
      <c r="D129" s="284"/>
      <c r="E129" s="284"/>
      <c r="F129" s="284"/>
      <c r="G129" s="284"/>
      <c r="H129" s="284"/>
      <c r="I129" s="284"/>
      <c r="J129" s="366">
        <v>6</v>
      </c>
      <c r="K129" s="370">
        <f t="shared" si="17"/>
        <v>1.7021276595744685</v>
      </c>
      <c r="L129" s="371">
        <v>24</v>
      </c>
      <c r="M129" s="371">
        <v>20</v>
      </c>
      <c r="N129" s="366">
        <f t="shared" si="13"/>
        <v>6</v>
      </c>
      <c r="O129" s="370">
        <f t="shared" si="14"/>
        <v>2.836879432624114</v>
      </c>
      <c r="P129" s="370">
        <f t="shared" si="15"/>
        <v>20</v>
      </c>
      <c r="Q129" s="366">
        <f t="shared" si="18"/>
        <v>6</v>
      </c>
      <c r="R129" s="370">
        <f t="shared" si="12"/>
        <v>2.836879432624114</v>
      </c>
      <c r="S129" s="366">
        <f t="shared" si="20"/>
        <v>100</v>
      </c>
      <c r="T129" s="366">
        <v>19.98</v>
      </c>
      <c r="U129" s="370">
        <f t="shared" si="16"/>
        <v>99.9</v>
      </c>
      <c r="V129" s="370"/>
      <c r="W129" s="372"/>
      <c r="X129" s="370"/>
      <c r="Y129" s="370"/>
      <c r="Z129" s="370"/>
      <c r="AA129" s="370"/>
      <c r="AB129" s="370"/>
      <c r="AC129" s="370"/>
      <c r="AD129" s="370"/>
      <c r="AE129" s="370"/>
      <c r="AF129" s="370"/>
      <c r="AG129" s="370"/>
      <c r="AH129" s="370"/>
      <c r="AI129" s="370"/>
      <c r="AJ129" s="366"/>
      <c r="AK129" s="366"/>
      <c r="AL129" s="360"/>
      <c r="AM129" s="305" t="s">
        <v>823</v>
      </c>
      <c r="AN129" s="305"/>
      <c r="AO129" s="305"/>
      <c r="AP129" s="305"/>
      <c r="AQ129" s="305"/>
      <c r="AR129" s="305"/>
      <c r="AS129" s="305"/>
      <c r="AT129" s="305"/>
      <c r="AU129" s="305"/>
      <c r="AV129" s="305"/>
    </row>
    <row r="130" spans="1:48" s="306" customFormat="1" ht="58.5" hidden="1">
      <c r="A130" s="304" t="s">
        <v>391</v>
      </c>
      <c r="B130" s="304" t="s">
        <v>743</v>
      </c>
      <c r="C130" s="341" t="s">
        <v>797</v>
      </c>
      <c r="D130" s="284"/>
      <c r="E130" s="284"/>
      <c r="F130" s="284"/>
      <c r="G130" s="284"/>
      <c r="H130" s="284"/>
      <c r="I130" s="284"/>
      <c r="J130" s="366">
        <v>6</v>
      </c>
      <c r="K130" s="370">
        <f t="shared" si="17"/>
        <v>0.42553191489361714</v>
      </c>
      <c r="L130" s="371">
        <v>6</v>
      </c>
      <c r="M130" s="371">
        <v>5</v>
      </c>
      <c r="N130" s="366">
        <f t="shared" si="13"/>
        <v>6</v>
      </c>
      <c r="O130" s="370">
        <f t="shared" si="14"/>
        <v>0.7092198581560285</v>
      </c>
      <c r="P130" s="370">
        <f t="shared" si="15"/>
        <v>5</v>
      </c>
      <c r="Q130" s="366">
        <f t="shared" si="18"/>
        <v>6</v>
      </c>
      <c r="R130" s="370">
        <f t="shared" si="12"/>
        <v>0.7092198581560285</v>
      </c>
      <c r="S130" s="366">
        <f t="shared" si="20"/>
        <v>100</v>
      </c>
      <c r="T130" s="366">
        <v>4.8</v>
      </c>
      <c r="U130" s="370">
        <f t="shared" si="16"/>
        <v>96</v>
      </c>
      <c r="V130" s="370"/>
      <c r="W130" s="372"/>
      <c r="X130" s="370"/>
      <c r="Y130" s="370"/>
      <c r="Z130" s="370"/>
      <c r="AA130" s="370"/>
      <c r="AB130" s="370"/>
      <c r="AC130" s="370"/>
      <c r="AD130" s="370"/>
      <c r="AE130" s="370"/>
      <c r="AF130" s="370"/>
      <c r="AG130" s="370"/>
      <c r="AH130" s="370"/>
      <c r="AI130" s="370"/>
      <c r="AJ130" s="366"/>
      <c r="AK130" s="366"/>
      <c r="AL130" s="360"/>
      <c r="AM130" s="305" t="s">
        <v>823</v>
      </c>
      <c r="AN130" s="305"/>
      <c r="AO130" s="305"/>
      <c r="AP130" s="305"/>
      <c r="AQ130" s="305"/>
      <c r="AR130" s="305"/>
      <c r="AS130" s="305"/>
      <c r="AT130" s="305"/>
      <c r="AU130" s="305"/>
      <c r="AV130" s="305"/>
    </row>
    <row r="131" spans="1:48" s="306" customFormat="1" ht="39" hidden="1">
      <c r="A131" s="304" t="s">
        <v>393</v>
      </c>
      <c r="B131" s="304" t="s">
        <v>744</v>
      </c>
      <c r="C131" s="341" t="s">
        <v>797</v>
      </c>
      <c r="D131" s="284"/>
      <c r="E131" s="284"/>
      <c r="F131" s="284"/>
      <c r="G131" s="284"/>
      <c r="H131" s="284"/>
      <c r="I131" s="284"/>
      <c r="J131" s="366">
        <v>0.5</v>
      </c>
      <c r="K131" s="370">
        <f t="shared" si="17"/>
        <v>3.5460992907801428E-2</v>
      </c>
      <c r="L131" s="371">
        <v>0.5</v>
      </c>
      <c r="M131" s="371">
        <v>0</v>
      </c>
      <c r="N131" s="366">
        <f t="shared" si="13"/>
        <v>0.5</v>
      </c>
      <c r="O131" s="370">
        <f t="shared" si="14"/>
        <v>0</v>
      </c>
      <c r="P131" s="370">
        <f t="shared" si="15"/>
        <v>0</v>
      </c>
      <c r="Q131" s="366">
        <f t="shared" si="18"/>
        <v>0.5</v>
      </c>
      <c r="R131" s="370">
        <f t="shared" si="12"/>
        <v>0</v>
      </c>
      <c r="S131" s="366">
        <f t="shared" si="20"/>
        <v>0</v>
      </c>
      <c r="T131" s="366">
        <v>0</v>
      </c>
      <c r="U131" s="370">
        <f t="shared" si="16"/>
        <v>0</v>
      </c>
      <c r="V131" s="370"/>
      <c r="W131" s="372"/>
      <c r="X131" s="370"/>
      <c r="Y131" s="370"/>
      <c r="Z131" s="370"/>
      <c r="AA131" s="370"/>
      <c r="AB131" s="370"/>
      <c r="AC131" s="370"/>
      <c r="AD131" s="370"/>
      <c r="AE131" s="370"/>
      <c r="AF131" s="370"/>
      <c r="AG131" s="370"/>
      <c r="AH131" s="370"/>
      <c r="AI131" s="370"/>
      <c r="AJ131" s="366"/>
      <c r="AK131" s="366"/>
      <c r="AL131" s="360"/>
      <c r="AM131" s="305" t="s">
        <v>823</v>
      </c>
      <c r="AN131" s="305"/>
      <c r="AO131" s="305"/>
      <c r="AP131" s="305"/>
      <c r="AQ131" s="305"/>
      <c r="AR131" s="305"/>
      <c r="AS131" s="305"/>
      <c r="AT131" s="305"/>
      <c r="AU131" s="305"/>
      <c r="AV131" s="305"/>
    </row>
    <row r="132" spans="1:48" s="306" customFormat="1" ht="39" hidden="1">
      <c r="A132" s="304" t="s">
        <v>450</v>
      </c>
      <c r="B132" s="304" t="s">
        <v>745</v>
      </c>
      <c r="C132" s="341" t="s">
        <v>797</v>
      </c>
      <c r="D132" s="284"/>
      <c r="E132" s="284"/>
      <c r="F132" s="284"/>
      <c r="G132" s="284"/>
      <c r="H132" s="284"/>
      <c r="I132" s="284"/>
      <c r="J132" s="366">
        <v>1</v>
      </c>
      <c r="K132" s="370">
        <f t="shared" si="17"/>
        <v>0.28368794326241142</v>
      </c>
      <c r="L132" s="371">
        <v>4</v>
      </c>
      <c r="M132" s="371"/>
      <c r="N132" s="366">
        <f t="shared" si="13"/>
        <v>1</v>
      </c>
      <c r="O132" s="370">
        <f t="shared" si="14"/>
        <v>0</v>
      </c>
      <c r="P132" s="370">
        <f t="shared" si="15"/>
        <v>0</v>
      </c>
      <c r="Q132" s="366">
        <f t="shared" si="18"/>
        <v>1</v>
      </c>
      <c r="R132" s="370">
        <f t="shared" si="12"/>
        <v>0</v>
      </c>
      <c r="S132" s="366">
        <f t="shared" si="20"/>
        <v>0</v>
      </c>
      <c r="T132" s="366">
        <v>0</v>
      </c>
      <c r="U132" s="370">
        <f t="shared" si="16"/>
        <v>0</v>
      </c>
      <c r="V132" s="370"/>
      <c r="W132" s="372"/>
      <c r="X132" s="370"/>
      <c r="Y132" s="370"/>
      <c r="Z132" s="370"/>
      <c r="AA132" s="370"/>
      <c r="AB132" s="370"/>
      <c r="AC132" s="370"/>
      <c r="AD132" s="370"/>
      <c r="AE132" s="370"/>
      <c r="AF132" s="370"/>
      <c r="AG132" s="370"/>
      <c r="AH132" s="370"/>
      <c r="AI132" s="370"/>
      <c r="AJ132" s="366"/>
      <c r="AK132" s="366"/>
      <c r="AL132" s="360"/>
      <c r="AM132" s="305" t="s">
        <v>820</v>
      </c>
      <c r="AN132" s="305"/>
      <c r="AO132" s="305"/>
      <c r="AP132" s="305"/>
      <c r="AQ132" s="305"/>
      <c r="AR132" s="305"/>
      <c r="AS132" s="305"/>
      <c r="AT132" s="305"/>
      <c r="AU132" s="305"/>
      <c r="AV132" s="305"/>
    </row>
    <row r="133" spans="1:48" s="306" customFormat="1" ht="58.5" hidden="1">
      <c r="A133" s="304" t="s">
        <v>395</v>
      </c>
      <c r="B133" s="304" t="s">
        <v>746</v>
      </c>
      <c r="C133" s="340" t="s">
        <v>794</v>
      </c>
      <c r="D133" s="284"/>
      <c r="E133" s="284"/>
      <c r="F133" s="284"/>
      <c r="G133" s="284"/>
      <c r="H133" s="284"/>
      <c r="I133" s="284"/>
      <c r="J133" s="366">
        <v>5</v>
      </c>
      <c r="K133" s="370">
        <f t="shared" si="17"/>
        <v>0.35460992907801425</v>
      </c>
      <c r="L133" s="371">
        <v>5</v>
      </c>
      <c r="M133" s="371">
        <v>5</v>
      </c>
      <c r="N133" s="366">
        <f t="shared" si="13"/>
        <v>5</v>
      </c>
      <c r="O133" s="370">
        <f t="shared" si="14"/>
        <v>0.7092198581560285</v>
      </c>
      <c r="P133" s="370">
        <f t="shared" si="15"/>
        <v>5</v>
      </c>
      <c r="Q133" s="366">
        <f t="shared" si="18"/>
        <v>5</v>
      </c>
      <c r="R133" s="370">
        <f t="shared" si="12"/>
        <v>0.7092198581560285</v>
      </c>
      <c r="S133" s="366">
        <f t="shared" si="20"/>
        <v>100</v>
      </c>
      <c r="T133" s="366">
        <v>4.8</v>
      </c>
      <c r="U133" s="370">
        <f t="shared" si="16"/>
        <v>96</v>
      </c>
      <c r="V133" s="370"/>
      <c r="W133" s="372"/>
      <c r="X133" s="370"/>
      <c r="Y133" s="370"/>
      <c r="Z133" s="370"/>
      <c r="AA133" s="370"/>
      <c r="AB133" s="370"/>
      <c r="AC133" s="370"/>
      <c r="AD133" s="370"/>
      <c r="AE133" s="370"/>
      <c r="AF133" s="370"/>
      <c r="AG133" s="370"/>
      <c r="AH133" s="370"/>
      <c r="AI133" s="370"/>
      <c r="AJ133" s="366"/>
      <c r="AK133" s="366"/>
      <c r="AL133" s="360"/>
      <c r="AM133" s="305" t="s">
        <v>823</v>
      </c>
      <c r="AN133" s="305"/>
      <c r="AO133" s="305"/>
      <c r="AP133" s="305"/>
      <c r="AQ133" s="305"/>
      <c r="AR133" s="305"/>
      <c r="AS133" s="305"/>
      <c r="AT133" s="305"/>
      <c r="AU133" s="305"/>
      <c r="AV133" s="305"/>
    </row>
    <row r="134" spans="1:48" s="306" customFormat="1" ht="58.5" hidden="1">
      <c r="A134" s="334" t="s">
        <v>600</v>
      </c>
      <c r="B134" s="334" t="s">
        <v>747</v>
      </c>
      <c r="C134" s="342" t="s">
        <v>794</v>
      </c>
      <c r="D134" s="281"/>
      <c r="E134" s="281"/>
      <c r="F134" s="281"/>
      <c r="G134" s="281"/>
      <c r="H134" s="281"/>
      <c r="I134" s="281"/>
      <c r="J134" s="374">
        <v>2</v>
      </c>
      <c r="K134" s="375">
        <f t="shared" si="17"/>
        <v>0.7092198581560285</v>
      </c>
      <c r="L134" s="376">
        <v>10</v>
      </c>
      <c r="M134" s="376">
        <v>10</v>
      </c>
      <c r="N134" s="374">
        <f t="shared" si="13"/>
        <v>2</v>
      </c>
      <c r="O134" s="375">
        <f t="shared" si="14"/>
        <v>1.418439716312057</v>
      </c>
      <c r="P134" s="375">
        <f t="shared" si="15"/>
        <v>10</v>
      </c>
      <c r="Q134" s="374">
        <v>1</v>
      </c>
      <c r="R134" s="375">
        <f t="shared" si="12"/>
        <v>0.7092198581560285</v>
      </c>
      <c r="S134" s="374">
        <f t="shared" si="20"/>
        <v>50</v>
      </c>
      <c r="T134" s="374">
        <v>4.99</v>
      </c>
      <c r="U134" s="375">
        <f t="shared" si="16"/>
        <v>49.9</v>
      </c>
      <c r="V134" s="375"/>
      <c r="W134" s="378"/>
      <c r="X134" s="375"/>
      <c r="Y134" s="375"/>
      <c r="Z134" s="375"/>
      <c r="AA134" s="375"/>
      <c r="AB134" s="375"/>
      <c r="AC134" s="375"/>
      <c r="AD134" s="375"/>
      <c r="AE134" s="375"/>
      <c r="AF134" s="375"/>
      <c r="AG134" s="375"/>
      <c r="AH134" s="375"/>
      <c r="AI134" s="375"/>
      <c r="AJ134" s="374"/>
      <c r="AK134" s="374"/>
      <c r="AL134" s="361"/>
      <c r="AM134" s="305" t="s">
        <v>823</v>
      </c>
      <c r="AN134" s="305"/>
      <c r="AO134" s="305"/>
      <c r="AP134" s="305"/>
      <c r="AQ134" s="305"/>
      <c r="AR134" s="305"/>
      <c r="AS134" s="305"/>
      <c r="AT134" s="305"/>
      <c r="AU134" s="305"/>
      <c r="AV134" s="305"/>
    </row>
    <row r="135" spans="1:48" s="177" customFormat="1" ht="19.5" hidden="1">
      <c r="A135" s="406" t="s">
        <v>748</v>
      </c>
      <c r="B135" s="407" t="s">
        <v>749</v>
      </c>
      <c r="C135" s="406"/>
      <c r="D135" s="406"/>
      <c r="E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406">
        <f>SUM(G32:G32)</f>
        <v>0</v>
      </c>
      <c r="H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409"/>
      <c r="K135" s="410">
        <f>SUM(K22:K30,K32:K33,K35,K37,K39,K41,K43,K45,K47,K49,K51,K53,K55,K57,K59,K61,K63,K65,K67:K134)</f>
        <v>99.999999999999943</v>
      </c>
      <c r="L135" s="410">
        <f>SUM(L22:L30,L32:L33,L35,L37,L39,L41,L43,L45,L47,L49,L51,L53,L55,L57,L59,L61,L63,L65,L67:L134)</f>
        <v>1409.9999999999998</v>
      </c>
      <c r="M135" s="410">
        <f>SUM(M22:M134)</f>
        <v>704.99999999999989</v>
      </c>
      <c r="N135" s="409"/>
      <c r="O135" s="410">
        <f>SUM(O22:O30,O32:O33,O35,O37,O39,O41,O43,O45,O47,O49,O51,O53,O55,O57,O59,O61,O63,O65,O67:O134)</f>
        <v>77.920567375886563</v>
      </c>
      <c r="P135" s="410">
        <f>SUM(P22:P134)</f>
        <v>704.99999999999989</v>
      </c>
      <c r="Q135" s="410"/>
      <c r="R135" s="410">
        <f>SUM(R22:R30,R32:R33,R35,R37,R39,R41,R43,R45,R47,R49,R51,R53,R55,R57,R59,R61,R63,R65,R67:R134)</f>
        <v>77.211347517730545</v>
      </c>
      <c r="S135" s="410">
        <f>R135/O135*100</f>
        <v>99.089816871154497</v>
      </c>
      <c r="T135" s="410">
        <f>SUM(T22:T134)</f>
        <v>683.29</v>
      </c>
      <c r="U135" s="410">
        <f>T135*100/P135</f>
        <v>96.920567375886534</v>
      </c>
      <c r="V135" s="369"/>
      <c r="W135" s="369">
        <f>SUM(W31:W134)</f>
        <v>11.120000000000001</v>
      </c>
      <c r="X135" s="369" t="e">
        <f>#REF!+#REF!+#REF!+#REF!</f>
        <v>#REF!</v>
      </c>
      <c r="Y135" s="369"/>
      <c r="Z135" s="369"/>
      <c r="AA135" s="369">
        <f>SUM(AA31:AA134)</f>
        <v>2.8155319148936169</v>
      </c>
      <c r="AB135" s="369"/>
      <c r="AC135" s="369"/>
      <c r="AD135" s="369"/>
      <c r="AE135" s="369"/>
      <c r="AF135" s="369"/>
      <c r="AG135" s="369"/>
      <c r="AH135" s="369"/>
      <c r="AI135" s="369">
        <f>SUM(AI31:AI134)</f>
        <v>3.410283687943263</v>
      </c>
      <c r="AJ135" s="373"/>
      <c r="AK135" s="373"/>
      <c r="AL135" s="331"/>
      <c r="AM135" s="220"/>
      <c r="AN135" s="220"/>
      <c r="AO135" s="220"/>
      <c r="AP135" s="220"/>
      <c r="AQ135" s="220"/>
      <c r="AR135" s="220"/>
      <c r="AS135" s="220"/>
      <c r="AT135" s="220"/>
      <c r="AU135" s="220"/>
      <c r="AV135" s="220"/>
    </row>
    <row r="136" spans="1:48" ht="19.5" hidden="1">
      <c r="A136" s="296"/>
      <c r="B136" s="381" t="s">
        <v>756</v>
      </c>
      <c r="C136" s="296"/>
      <c r="D136" s="296"/>
      <c r="E136" s="296">
        <v>100</v>
      </c>
      <c r="F136" s="296" t="e">
        <f t="shared" ref="F136:AI136" si="21">F135</f>
        <v>#REF!</v>
      </c>
      <c r="G136" s="296">
        <f t="shared" si="21"/>
        <v>0</v>
      </c>
      <c r="H136" s="296" t="e">
        <f t="shared" si="21"/>
        <v>#REF!</v>
      </c>
      <c r="I136" s="296" t="e">
        <f t="shared" si="21"/>
        <v>#REF!</v>
      </c>
      <c r="J136" s="382"/>
      <c r="K136" s="383">
        <f t="shared" si="21"/>
        <v>99.999999999999943</v>
      </c>
      <c r="L136" s="383">
        <f>L135</f>
        <v>1409.9999999999998</v>
      </c>
      <c r="M136" s="383"/>
      <c r="N136" s="384"/>
      <c r="O136" s="383">
        <f>O135</f>
        <v>77.920567375886563</v>
      </c>
      <c r="P136" s="383">
        <f>P135</f>
        <v>704.99999999999989</v>
      </c>
      <c r="Q136" s="384"/>
      <c r="R136" s="383">
        <f t="shared" ref="R136:T136" si="22">R135</f>
        <v>77.211347517730545</v>
      </c>
      <c r="S136" s="383">
        <f t="shared" si="22"/>
        <v>99.089816871154497</v>
      </c>
      <c r="T136" s="383">
        <f t="shared" si="22"/>
        <v>683.29</v>
      </c>
      <c r="U136" s="385">
        <f>T136*100/P136</f>
        <v>96.920567375886534</v>
      </c>
      <c r="V136" s="382"/>
      <c r="W136" s="382">
        <f t="shared" si="21"/>
        <v>11.120000000000001</v>
      </c>
      <c r="X136" s="382" t="e">
        <f t="shared" si="21"/>
        <v>#REF!</v>
      </c>
      <c r="Y136" s="382"/>
      <c r="Z136" s="382"/>
      <c r="AA136" s="377">
        <f t="shared" si="21"/>
        <v>2.8155319148936169</v>
      </c>
      <c r="AB136" s="377"/>
      <c r="AC136" s="377"/>
      <c r="AD136" s="377"/>
      <c r="AE136" s="377"/>
      <c r="AF136" s="377"/>
      <c r="AG136" s="377"/>
      <c r="AH136" s="382"/>
      <c r="AI136" s="377">
        <f t="shared" si="21"/>
        <v>3.410283687943263</v>
      </c>
      <c r="AJ136" s="382"/>
      <c r="AK136" s="382"/>
      <c r="AL136" s="296"/>
      <c r="AM136" s="220"/>
      <c r="AN136" s="220"/>
      <c r="AO136" s="220"/>
      <c r="AP136" s="220"/>
      <c r="AQ136" s="220"/>
      <c r="AR136" s="220"/>
      <c r="AS136" s="220"/>
      <c r="AT136" s="220"/>
      <c r="AU136" s="220"/>
      <c r="AV136" s="220"/>
    </row>
    <row r="137" spans="1:48" s="220" customFormat="1" ht="19.5" hidden="1">
      <c r="A137" s="386"/>
      <c r="B137" s="387"/>
      <c r="C137" s="388"/>
      <c r="D137" s="389"/>
      <c r="E137" s="389"/>
      <c r="F137" s="389"/>
      <c r="G137" s="389"/>
      <c r="H137" s="389"/>
      <c r="I137" s="389"/>
      <c r="J137" s="390"/>
      <c r="K137" s="617"/>
      <c r="L137" s="617"/>
      <c r="M137" s="391"/>
      <c r="N137" s="390"/>
      <c r="O137" s="390"/>
      <c r="P137" s="390"/>
      <c r="Q137" s="390"/>
      <c r="R137" s="390"/>
      <c r="S137" s="390"/>
      <c r="T137" s="390"/>
      <c r="U137" s="390"/>
      <c r="V137" s="390"/>
      <c r="W137" s="390"/>
      <c r="X137" s="390"/>
      <c r="Y137" s="390"/>
      <c r="Z137" s="390"/>
      <c r="AA137" s="389"/>
      <c r="AB137" s="389"/>
      <c r="AC137" s="389"/>
      <c r="AD137" s="389"/>
      <c r="AE137" s="389"/>
      <c r="AF137" s="389"/>
      <c r="AG137" s="389"/>
      <c r="AH137" s="389"/>
      <c r="AI137" s="392"/>
      <c r="AJ137" s="392"/>
      <c r="AK137" s="392"/>
      <c r="AL137" s="393"/>
    </row>
    <row r="138" spans="1:48" s="220" customFormat="1" ht="19.5" hidden="1">
      <c r="A138" s="394"/>
      <c r="C138" s="311"/>
      <c r="D138" s="256"/>
      <c r="E138" s="256"/>
      <c r="F138" s="256"/>
      <c r="G138" s="256"/>
      <c r="H138" s="256"/>
      <c r="I138" s="256"/>
      <c r="J138" s="257"/>
      <c r="K138" s="257"/>
      <c r="L138" s="321"/>
      <c r="M138" s="321"/>
      <c r="N138" s="257"/>
      <c r="O138" s="257"/>
      <c r="P138" s="257"/>
      <c r="Q138" s="257"/>
      <c r="R138" s="257"/>
      <c r="S138" s="257"/>
      <c r="T138" s="257"/>
      <c r="U138" s="257"/>
      <c r="V138" s="257"/>
      <c r="W138" s="257"/>
      <c r="X138" s="257"/>
      <c r="Y138" s="257"/>
      <c r="Z138" s="257"/>
      <c r="AA138" s="256"/>
      <c r="AB138" s="256"/>
      <c r="AC138" s="256"/>
      <c r="AD138" s="256"/>
      <c r="AE138" s="256"/>
      <c r="AF138" s="256"/>
      <c r="AG138" s="256"/>
      <c r="AH138" s="256"/>
      <c r="AI138" s="256"/>
      <c r="AJ138" s="256"/>
      <c r="AK138" s="256"/>
      <c r="AL138" s="395"/>
    </row>
    <row r="139" spans="1:48" s="220" customFormat="1" ht="19.5" hidden="1">
      <c r="A139" s="394"/>
      <c r="C139" s="311"/>
      <c r="D139" s="256"/>
      <c r="E139" s="256"/>
      <c r="F139" s="256"/>
      <c r="G139" s="256"/>
      <c r="H139" s="256"/>
      <c r="I139" s="256"/>
      <c r="J139" s="257"/>
      <c r="K139" s="257"/>
      <c r="L139" s="321"/>
      <c r="M139" s="321"/>
      <c r="N139" s="257"/>
      <c r="O139" s="257"/>
      <c r="P139" s="257"/>
      <c r="Q139" s="257"/>
      <c r="R139" s="257"/>
      <c r="S139" s="257"/>
      <c r="T139" s="257"/>
      <c r="U139" s="257"/>
      <c r="V139" s="257"/>
      <c r="W139" s="257"/>
      <c r="X139" s="257"/>
      <c r="Y139" s="257"/>
      <c r="Z139" s="257"/>
      <c r="AA139" s="256"/>
      <c r="AB139" s="256"/>
      <c r="AC139" s="256"/>
      <c r="AD139" s="256"/>
      <c r="AE139" s="256"/>
      <c r="AF139" s="256"/>
      <c r="AG139" s="256"/>
      <c r="AH139" s="256"/>
      <c r="AI139" s="256"/>
      <c r="AJ139" s="256"/>
      <c r="AK139" s="256"/>
      <c r="AL139" s="395"/>
    </row>
    <row r="140" spans="1:48" s="220" customFormat="1" ht="19.5" hidden="1">
      <c r="A140" s="394"/>
      <c r="B140" s="258" t="s">
        <v>750</v>
      </c>
      <c r="C140" s="312"/>
      <c r="D140" s="259"/>
      <c r="E140" s="259"/>
      <c r="F140" s="259"/>
      <c r="G140" s="259"/>
      <c r="H140" s="259"/>
      <c r="I140" s="259"/>
      <c r="J140" s="260"/>
      <c r="K140" s="261"/>
      <c r="L140" s="322"/>
      <c r="M140" s="322"/>
      <c r="N140" s="261"/>
      <c r="O140" s="261"/>
      <c r="P140" s="261"/>
      <c r="Q140" s="258" t="s">
        <v>770</v>
      </c>
      <c r="R140" s="261"/>
      <c r="S140" s="261"/>
      <c r="T140" s="261"/>
      <c r="U140" s="261"/>
      <c r="V140" s="261"/>
      <c r="W140" s="261"/>
      <c r="X140" s="261"/>
      <c r="Y140" s="261"/>
      <c r="Z140" s="261"/>
      <c r="AA140" s="259"/>
      <c r="AB140" s="259"/>
      <c r="AC140" s="259"/>
      <c r="AD140" s="259"/>
      <c r="AE140" s="259"/>
      <c r="AF140" s="259"/>
      <c r="AG140" s="259"/>
      <c r="AH140" s="259"/>
      <c r="AI140" s="259"/>
      <c r="AL140" s="396"/>
    </row>
    <row r="141" spans="1:48" s="220" customFormat="1" ht="19.5" hidden="1">
      <c r="A141" s="397"/>
      <c r="B141" s="398" t="s">
        <v>751</v>
      </c>
      <c r="C141" s="399"/>
      <c r="D141" s="400"/>
      <c r="E141" s="400"/>
      <c r="F141" s="400"/>
      <c r="G141" s="400"/>
      <c r="H141" s="400"/>
      <c r="I141" s="400"/>
      <c r="J141" s="401"/>
      <c r="K141" s="401"/>
      <c r="L141" s="402"/>
      <c r="M141" s="402"/>
      <c r="N141" s="401"/>
      <c r="O141" s="401"/>
      <c r="P141" s="401"/>
      <c r="Q141" s="398" t="s">
        <v>751</v>
      </c>
      <c r="R141" s="403"/>
      <c r="S141" s="401"/>
      <c r="T141" s="401"/>
      <c r="U141" s="401"/>
      <c r="V141" s="401"/>
      <c r="W141" s="401"/>
      <c r="X141" s="401"/>
      <c r="Y141" s="401"/>
      <c r="Z141" s="401"/>
      <c r="AA141" s="400"/>
      <c r="AB141" s="400"/>
      <c r="AC141" s="400"/>
      <c r="AD141" s="400"/>
      <c r="AE141" s="400"/>
      <c r="AF141" s="400"/>
      <c r="AG141" s="400"/>
      <c r="AH141" s="400"/>
      <c r="AI141" s="400"/>
      <c r="AJ141" s="400"/>
      <c r="AK141" s="400"/>
      <c r="AL141" s="404"/>
    </row>
    <row r="142" spans="1:48" s="220" customFormat="1" ht="19.5" hidden="1">
      <c r="C142" s="313"/>
      <c r="L142" s="323"/>
      <c r="M142" s="323"/>
      <c r="V142" s="220" t="s">
        <v>457</v>
      </c>
      <c r="X142" s="263"/>
    </row>
    <row r="143" spans="1:48" s="220" customFormat="1" ht="19.5" hidden="1">
      <c r="C143" s="313"/>
      <c r="L143" s="323"/>
      <c r="M143" s="323"/>
      <c r="X143" s="263"/>
    </row>
    <row r="144" spans="1:48" s="220" customFormat="1" ht="19.5" hidden="1">
      <c r="C144" s="313"/>
      <c r="L144" s="323"/>
      <c r="M144" s="323"/>
      <c r="X144" s="263"/>
    </row>
    <row r="145" spans="3:48" s="220" customFormat="1" ht="19.5" hidden="1">
      <c r="C145" s="313"/>
      <c r="L145" s="323"/>
      <c r="M145" s="323"/>
      <c r="X145" s="263"/>
    </row>
    <row r="146" spans="3:48" ht="19.5" hidden="1">
      <c r="C146" s="313"/>
      <c r="D146" s="220"/>
      <c r="E146" s="220"/>
      <c r="F146" s="220"/>
      <c r="G146" s="220"/>
      <c r="H146" s="220"/>
      <c r="I146" s="220"/>
      <c r="J146" s="220"/>
      <c r="K146" s="220"/>
      <c r="L146" s="323"/>
      <c r="M146" s="323"/>
      <c r="N146" s="220"/>
      <c r="O146" s="220"/>
      <c r="P146" s="220"/>
      <c r="Q146" s="220"/>
      <c r="R146" s="220"/>
      <c r="S146" s="220"/>
      <c r="T146" s="220"/>
      <c r="U146" s="220"/>
      <c r="V146" s="220"/>
      <c r="W146" s="220"/>
      <c r="X146" s="263"/>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row>
    <row r="147" spans="3:48" ht="19.5" hidden="1">
      <c r="C147" s="313"/>
      <c r="D147" s="220"/>
      <c r="E147" s="220"/>
      <c r="F147" s="220"/>
      <c r="G147" s="220"/>
      <c r="H147" s="220"/>
      <c r="I147" s="220"/>
      <c r="J147" s="220"/>
      <c r="K147" s="220"/>
      <c r="L147" s="323"/>
      <c r="M147" s="323"/>
      <c r="N147" s="220"/>
      <c r="O147" s="220"/>
      <c r="P147" s="220"/>
      <c r="Q147" s="220"/>
      <c r="R147" s="220"/>
      <c r="S147" s="220"/>
      <c r="T147" s="220"/>
      <c r="U147" s="220"/>
      <c r="V147" s="220"/>
      <c r="W147" s="220"/>
      <c r="X147" s="263"/>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row>
    <row r="148" spans="3:48" ht="19.5" hidden="1">
      <c r="C148" s="313"/>
      <c r="D148" s="220"/>
      <c r="E148" s="220"/>
      <c r="F148" s="220"/>
      <c r="G148" s="220"/>
      <c r="H148" s="220"/>
      <c r="I148" s="220"/>
      <c r="J148" s="220"/>
      <c r="K148" s="220"/>
      <c r="L148" s="323"/>
      <c r="M148" s="323"/>
      <c r="N148" s="220"/>
      <c r="O148" s="220"/>
      <c r="P148" s="220"/>
      <c r="Q148" s="220"/>
      <c r="R148" s="220"/>
      <c r="S148" s="220"/>
      <c r="T148" s="220"/>
      <c r="U148" s="220"/>
      <c r="V148" s="220"/>
      <c r="W148" s="220"/>
      <c r="X148" s="263"/>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row>
    <row r="149" spans="3:48" ht="19.5" hidden="1">
      <c r="C149" s="313"/>
      <c r="D149" s="220"/>
      <c r="E149" s="220"/>
      <c r="F149" s="220"/>
      <c r="G149" s="220"/>
      <c r="H149" s="220"/>
      <c r="I149" s="220"/>
      <c r="J149" s="220"/>
      <c r="K149" s="220"/>
      <c r="L149" s="323"/>
      <c r="M149" s="323"/>
      <c r="N149" s="220"/>
      <c r="O149" s="220"/>
      <c r="P149" s="220"/>
      <c r="Q149" s="220"/>
      <c r="R149" s="220"/>
      <c r="S149" s="220"/>
      <c r="T149" s="220"/>
      <c r="U149" s="220"/>
      <c r="V149" s="220"/>
      <c r="W149" s="220"/>
      <c r="X149" s="263"/>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row>
    <row r="150" spans="3:48" ht="19.5" hidden="1">
      <c r="C150" s="313"/>
      <c r="D150" s="220"/>
      <c r="E150" s="220"/>
      <c r="F150" s="220"/>
      <c r="G150" s="220"/>
      <c r="H150" s="220"/>
      <c r="I150" s="220"/>
      <c r="J150" s="220"/>
      <c r="K150" s="220"/>
      <c r="L150" s="323"/>
      <c r="M150" s="323"/>
      <c r="N150" s="220"/>
      <c r="O150" s="220"/>
      <c r="P150" s="220"/>
      <c r="Q150" s="220"/>
      <c r="R150" s="220"/>
      <c r="S150" s="220"/>
      <c r="T150" s="220"/>
      <c r="U150" s="220"/>
      <c r="V150" s="220"/>
      <c r="W150" s="220"/>
      <c r="X150" s="263"/>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row>
    <row r="151" spans="3:48" ht="19.5" hidden="1">
      <c r="C151" s="313"/>
      <c r="D151" s="220"/>
      <c r="E151" s="220"/>
      <c r="F151" s="220"/>
      <c r="G151" s="220"/>
      <c r="H151" s="220"/>
      <c r="I151" s="220"/>
      <c r="J151" s="220"/>
      <c r="K151" s="220"/>
      <c r="L151" s="323"/>
      <c r="M151" s="323"/>
      <c r="N151" s="220"/>
      <c r="O151" s="220"/>
      <c r="P151" s="220"/>
      <c r="Q151" s="220"/>
      <c r="R151" s="220"/>
      <c r="S151" s="220"/>
      <c r="T151" s="220"/>
      <c r="U151" s="220"/>
      <c r="V151" s="220"/>
      <c r="W151" s="220"/>
      <c r="X151" s="263"/>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row>
    <row r="152" spans="3:48" ht="19.5" hidden="1">
      <c r="C152" s="313"/>
      <c r="D152" s="220"/>
      <c r="E152" s="220"/>
      <c r="F152" s="220"/>
      <c r="G152" s="220"/>
      <c r="H152" s="220"/>
      <c r="I152" s="220"/>
      <c r="J152" s="220"/>
      <c r="K152" s="220"/>
      <c r="L152" s="323"/>
      <c r="M152" s="323"/>
      <c r="N152" s="220"/>
      <c r="O152" s="220"/>
      <c r="P152" s="220"/>
      <c r="Q152" s="220"/>
      <c r="R152" s="220"/>
      <c r="S152" s="220"/>
      <c r="T152" s="220"/>
      <c r="U152" s="220"/>
      <c r="V152" s="220"/>
      <c r="W152" s="220"/>
      <c r="X152" s="263"/>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row>
    <row r="153" spans="3:48" ht="19.5" hidden="1">
      <c r="C153" s="313"/>
      <c r="D153" s="220"/>
      <c r="E153" s="220"/>
      <c r="F153" s="220"/>
      <c r="G153" s="220"/>
      <c r="H153" s="220"/>
      <c r="I153" s="220"/>
      <c r="J153" s="220"/>
      <c r="K153" s="220"/>
      <c r="L153" s="323"/>
      <c r="M153" s="323"/>
      <c r="N153" s="220"/>
      <c r="O153" s="220"/>
      <c r="P153" s="220"/>
      <c r="Q153" s="220"/>
      <c r="R153" s="220"/>
      <c r="S153" s="220"/>
      <c r="T153" s="220"/>
      <c r="U153" s="220"/>
      <c r="V153" s="220"/>
      <c r="W153" s="220"/>
      <c r="X153" s="263"/>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row>
    <row r="154" spans="3:48" ht="19.5" hidden="1">
      <c r="C154" s="313"/>
      <c r="D154" s="220"/>
      <c r="E154" s="220"/>
      <c r="F154" s="220"/>
      <c r="G154" s="220"/>
      <c r="H154" s="220"/>
      <c r="I154" s="220"/>
      <c r="J154" s="220"/>
      <c r="K154" s="220"/>
      <c r="L154" s="323"/>
      <c r="M154" s="323"/>
      <c r="N154" s="220"/>
      <c r="O154" s="220"/>
      <c r="P154" s="220"/>
      <c r="Q154" s="220"/>
      <c r="R154" s="220"/>
      <c r="S154" s="220"/>
      <c r="T154" s="220"/>
      <c r="U154" s="220"/>
      <c r="V154" s="220"/>
      <c r="W154" s="220"/>
      <c r="X154" s="263"/>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row>
    <row r="155" spans="3:48" ht="19.5" hidden="1">
      <c r="C155" s="313"/>
      <c r="D155" s="220"/>
      <c r="E155" s="220"/>
      <c r="F155" s="220"/>
      <c r="G155" s="220"/>
      <c r="H155" s="220"/>
      <c r="I155" s="220"/>
      <c r="J155" s="220"/>
      <c r="K155" s="220"/>
      <c r="L155" s="323"/>
      <c r="M155" s="323"/>
      <c r="N155" s="220"/>
      <c r="O155" s="220"/>
      <c r="P155" s="220"/>
      <c r="Q155" s="220"/>
      <c r="R155" s="220"/>
      <c r="S155" s="220"/>
      <c r="T155" s="220"/>
      <c r="U155" s="220"/>
      <c r="V155" s="220"/>
      <c r="W155" s="220"/>
      <c r="X155" s="263"/>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row>
    <row r="156" spans="3:48" ht="19.5" hidden="1">
      <c r="C156" s="313"/>
      <c r="D156" s="220"/>
      <c r="E156" s="220"/>
      <c r="F156" s="220"/>
      <c r="G156" s="220"/>
      <c r="H156" s="220"/>
      <c r="I156" s="220"/>
      <c r="J156" s="220"/>
      <c r="K156" s="220"/>
      <c r="L156" s="323"/>
      <c r="M156" s="323"/>
      <c r="N156" s="220"/>
      <c r="O156" s="220"/>
      <c r="P156" s="220"/>
      <c r="Q156" s="220"/>
      <c r="R156" s="220"/>
      <c r="S156" s="220"/>
      <c r="T156" s="220"/>
      <c r="U156" s="220"/>
      <c r="V156" s="220"/>
      <c r="W156" s="220"/>
      <c r="X156" s="263"/>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row>
    <row r="157" spans="3:48" ht="19.5" hidden="1">
      <c r="C157" s="313"/>
      <c r="D157" s="220"/>
      <c r="E157" s="220"/>
      <c r="F157" s="220"/>
      <c r="G157" s="220"/>
      <c r="H157" s="220"/>
      <c r="I157" s="220"/>
      <c r="J157" s="220"/>
      <c r="K157" s="220"/>
      <c r="L157" s="323"/>
      <c r="M157" s="323"/>
      <c r="N157" s="220"/>
      <c r="O157" s="220"/>
      <c r="P157" s="220"/>
      <c r="Q157" s="220"/>
      <c r="R157" s="220"/>
      <c r="S157" s="220"/>
      <c r="T157" s="220"/>
      <c r="U157" s="220"/>
      <c r="V157" s="220"/>
      <c r="W157" s="220"/>
      <c r="X157" s="263"/>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row>
    <row r="158" spans="3:48" ht="19.5" hidden="1">
      <c r="C158" s="313"/>
      <c r="D158" s="220"/>
      <c r="E158" s="220"/>
      <c r="F158" s="220"/>
      <c r="G158" s="220"/>
      <c r="H158" s="220"/>
      <c r="I158" s="220"/>
      <c r="J158" s="220"/>
      <c r="K158" s="220"/>
      <c r="L158" s="323"/>
      <c r="M158" s="323"/>
      <c r="N158" s="220"/>
      <c r="O158" s="220"/>
      <c r="P158" s="220"/>
      <c r="Q158" s="220"/>
      <c r="R158" s="220"/>
      <c r="S158" s="220"/>
      <c r="T158" s="220"/>
      <c r="U158" s="220"/>
      <c r="V158" s="220"/>
      <c r="W158" s="220"/>
      <c r="X158" s="263"/>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row>
    <row r="159" spans="3:48" ht="19.5" hidden="1">
      <c r="C159" s="313"/>
      <c r="D159" s="220"/>
      <c r="E159" s="220"/>
      <c r="F159" s="220"/>
      <c r="G159" s="220"/>
      <c r="H159" s="220"/>
      <c r="I159" s="220"/>
      <c r="J159" s="220"/>
      <c r="K159" s="220"/>
      <c r="L159" s="323"/>
      <c r="M159" s="323"/>
      <c r="N159" s="220"/>
      <c r="O159" s="220"/>
      <c r="P159" s="220"/>
      <c r="Q159" s="220"/>
      <c r="R159" s="220"/>
      <c r="S159" s="220"/>
      <c r="T159" s="220"/>
      <c r="U159" s="220"/>
      <c r="V159" s="220"/>
      <c r="W159" s="220"/>
      <c r="X159" s="263"/>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row>
    <row r="160" spans="3:48" ht="19.5" hidden="1">
      <c r="C160" s="313"/>
      <c r="D160" s="220"/>
      <c r="E160" s="220"/>
      <c r="F160" s="220"/>
      <c r="G160" s="220"/>
      <c r="H160" s="220"/>
      <c r="I160" s="220"/>
      <c r="J160" s="220"/>
      <c r="K160" s="220"/>
      <c r="L160" s="323"/>
      <c r="M160" s="323"/>
      <c r="N160" s="220"/>
      <c r="O160" s="220"/>
      <c r="P160" s="220"/>
      <c r="Q160" s="220"/>
      <c r="R160" s="220"/>
      <c r="S160" s="220"/>
      <c r="T160" s="220"/>
      <c r="U160" s="220"/>
      <c r="V160" s="220"/>
      <c r="W160" s="220"/>
      <c r="X160" s="263"/>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row>
    <row r="161" spans="3:48" ht="19.5" hidden="1">
      <c r="C161" s="313"/>
      <c r="D161" s="220"/>
      <c r="E161" s="220"/>
      <c r="F161" s="220"/>
      <c r="G161" s="220"/>
      <c r="H161" s="220"/>
      <c r="I161" s="220"/>
      <c r="J161" s="220"/>
      <c r="K161" s="220"/>
      <c r="L161" s="323"/>
      <c r="M161" s="323"/>
      <c r="N161" s="220"/>
      <c r="O161" s="220"/>
      <c r="P161" s="220"/>
      <c r="Q161" s="220"/>
      <c r="R161" s="220"/>
      <c r="S161" s="220"/>
      <c r="T161" s="220"/>
      <c r="U161" s="220"/>
      <c r="V161" s="220"/>
      <c r="W161" s="220"/>
      <c r="X161" s="263"/>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row>
    <row r="162" spans="3:48" ht="19.5" hidden="1">
      <c r="C162" s="313"/>
      <c r="D162" s="220"/>
      <c r="E162" s="220"/>
      <c r="F162" s="220"/>
      <c r="G162" s="220"/>
      <c r="H162" s="220"/>
      <c r="I162" s="220"/>
      <c r="J162" s="220"/>
      <c r="K162" s="220"/>
      <c r="L162" s="323"/>
      <c r="M162" s="323"/>
      <c r="N162" s="220"/>
      <c r="O162" s="220"/>
      <c r="P162" s="220"/>
      <c r="Q162" s="220"/>
      <c r="R162" s="220"/>
      <c r="S162" s="220"/>
      <c r="T162" s="220"/>
      <c r="U162" s="220"/>
      <c r="V162" s="220"/>
      <c r="W162" s="220"/>
      <c r="X162" s="263"/>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row>
    <row r="163" spans="3:48" ht="19.5" hidden="1">
      <c r="C163" s="313"/>
      <c r="D163" s="220"/>
      <c r="E163" s="220"/>
      <c r="F163" s="220"/>
      <c r="G163" s="220"/>
      <c r="H163" s="220"/>
      <c r="I163" s="220"/>
      <c r="J163" s="220"/>
      <c r="K163" s="220"/>
      <c r="L163" s="323"/>
      <c r="M163" s="323"/>
      <c r="N163" s="220"/>
      <c r="O163" s="220"/>
      <c r="P163" s="220"/>
      <c r="Q163" s="220"/>
      <c r="R163" s="220"/>
      <c r="S163" s="220"/>
      <c r="T163" s="220"/>
      <c r="U163" s="220"/>
      <c r="V163" s="220"/>
      <c r="W163" s="220"/>
      <c r="X163" s="263"/>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row>
    <row r="164" spans="3:48" ht="19.5" hidden="1">
      <c r="C164" s="313"/>
      <c r="D164" s="220"/>
      <c r="E164" s="220"/>
      <c r="F164" s="220"/>
      <c r="G164" s="220"/>
      <c r="H164" s="220"/>
      <c r="I164" s="220"/>
      <c r="J164" s="220"/>
      <c r="K164" s="220"/>
      <c r="L164" s="323"/>
      <c r="M164" s="323"/>
      <c r="N164" s="220"/>
      <c r="O164" s="220"/>
      <c r="P164" s="220"/>
      <c r="Q164" s="220"/>
      <c r="R164" s="220"/>
      <c r="S164" s="220"/>
      <c r="T164" s="220"/>
      <c r="U164" s="220"/>
      <c r="V164" s="220"/>
      <c r="W164" s="220"/>
      <c r="X164" s="263"/>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row>
    <row r="165" spans="3:48" ht="19.5" hidden="1">
      <c r="C165" s="313"/>
      <c r="D165" s="220"/>
      <c r="E165" s="220"/>
      <c r="F165" s="220"/>
      <c r="G165" s="220"/>
      <c r="H165" s="220"/>
      <c r="I165" s="220"/>
      <c r="J165" s="220"/>
      <c r="K165" s="220"/>
      <c r="L165" s="323"/>
      <c r="M165" s="323"/>
      <c r="N165" s="220"/>
      <c r="O165" s="220"/>
      <c r="P165" s="220"/>
      <c r="Q165" s="220"/>
      <c r="R165" s="220"/>
      <c r="S165" s="220"/>
      <c r="T165" s="220"/>
      <c r="U165" s="220"/>
      <c r="V165" s="220"/>
      <c r="W165" s="220"/>
      <c r="X165" s="263"/>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row>
    <row r="166" spans="3:48">
      <c r="K166" s="410">
        <f>SUBTOTAL(9,K95)</f>
        <v>5.3191489361702136</v>
      </c>
      <c r="L166" s="410">
        <f t="shared" ref="L166:R166" si="23">SUBTOTAL(9,L95)</f>
        <v>75</v>
      </c>
      <c r="M166" s="410">
        <f t="shared" si="23"/>
        <v>73.099999999999994</v>
      </c>
      <c r="N166" s="409"/>
      <c r="O166" s="410">
        <f t="shared" si="23"/>
        <v>10.368794326241137</v>
      </c>
      <c r="P166" s="410">
        <f t="shared" si="23"/>
        <v>73.099999999999994</v>
      </c>
      <c r="Q166" s="410"/>
      <c r="R166" s="410">
        <f t="shared" si="23"/>
        <v>10.368794326241137</v>
      </c>
      <c r="S166" s="410">
        <f>R166/O166*100</f>
        <v>100</v>
      </c>
      <c r="T166" s="410">
        <f t="shared" ref="T166" si="24">SUBTOTAL(9,T95)</f>
        <v>71.7</v>
      </c>
      <c r="U166" s="410">
        <f>T166*100/P166</f>
        <v>98.084815321477436</v>
      </c>
    </row>
  </sheetData>
  <autoFilter ref="AM1:AM165" xr:uid="{00000000-0009-0000-0000-00000B000000}">
    <filterColumn colId="0">
      <filters>
        <filter val="REPAIR"/>
      </filters>
    </filterColumn>
  </autoFilter>
  <mergeCells count="22">
    <mergeCell ref="AL19:AL20"/>
    <mergeCell ref="K137:L137"/>
    <mergeCell ref="J19:M19"/>
    <mergeCell ref="N19:P19"/>
    <mergeCell ref="Q19:S19"/>
    <mergeCell ref="T19:U19"/>
    <mergeCell ref="V19:X19"/>
    <mergeCell ref="Y19:AA19"/>
    <mergeCell ref="AB19:AD19"/>
    <mergeCell ref="AE19:AG19"/>
    <mergeCell ref="AH19:AI19"/>
    <mergeCell ref="AJ19:AK19"/>
    <mergeCell ref="A1:AL1"/>
    <mergeCell ref="A2:AL2"/>
    <mergeCell ref="A3:AL3"/>
    <mergeCell ref="A4:AL4"/>
    <mergeCell ref="AH6:AI6"/>
    <mergeCell ref="A19:A20"/>
    <mergeCell ref="B19:B20"/>
    <mergeCell ref="C19:C20"/>
    <mergeCell ref="D19:F19"/>
    <mergeCell ref="G19:I19"/>
  </mergeCells>
  <pageMargins left="0.3" right="0.2" top="0.25" bottom="0.45" header="0.2" footer="0.3"/>
  <pageSetup paperSize="9" scale="75"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AV166"/>
  <sheetViews>
    <sheetView view="pageBreakPreview" zoomScale="95" zoomScaleNormal="70" zoomScaleSheetLayoutView="95" workbookViewId="0">
      <selection activeCell="B172" sqref="B172"/>
    </sheetView>
  </sheetViews>
  <sheetFormatPr defaultRowHeight="12.75"/>
  <cols>
    <col min="1" max="1" width="11.28515625" customWidth="1"/>
    <col min="2" max="2" width="33.85546875" customWidth="1"/>
    <col min="3" max="3" width="10.140625" style="314" customWidth="1"/>
    <col min="4" max="9" width="9.7109375" hidden="1" customWidth="1"/>
    <col min="10" max="11" width="9.7109375" customWidth="1"/>
    <col min="12" max="12" width="9.7109375" style="324" customWidth="1"/>
    <col min="13" max="13" width="11.28515625" style="324" customWidth="1"/>
    <col min="14" max="21" width="9.7109375" customWidth="1"/>
    <col min="22" max="23" width="9.7109375" hidden="1" customWidth="1"/>
    <col min="24" max="24" width="9.7109375" style="71" hidden="1" customWidth="1"/>
    <col min="25" max="37" width="9.7109375" hidden="1" customWidth="1"/>
    <col min="38" max="38" width="17.7109375" customWidth="1"/>
  </cols>
  <sheetData>
    <row r="1" spans="1:38"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row>
    <row r="2" spans="1:38" s="220" customFormat="1" ht="32.450000000000003" hidden="1"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row>
    <row r="3" spans="1:38" s="220" customFormat="1" ht="32.450000000000003" hidden="1"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row>
    <row r="4" spans="1:38" s="220" customFormat="1" ht="27.6" hidden="1" customHeight="1">
      <c r="A4" s="613" t="s">
        <v>819</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row>
    <row r="5" spans="1:38" s="220" customFormat="1" ht="28.5" hidden="1">
      <c r="A5" s="265"/>
      <c r="B5" s="265"/>
      <c r="C5" s="265"/>
      <c r="D5" s="265"/>
      <c r="E5" s="265"/>
      <c r="F5" s="265"/>
      <c r="G5" s="265"/>
      <c r="H5" s="265"/>
      <c r="I5" s="265"/>
      <c r="J5" s="265"/>
      <c r="K5" s="265"/>
      <c r="L5" s="318"/>
      <c r="M5" s="318"/>
      <c r="N5" s="265"/>
      <c r="O5" s="263"/>
      <c r="P5" s="263"/>
      <c r="Q5" s="265"/>
      <c r="R5" s="265"/>
      <c r="S5" s="264"/>
      <c r="T5" s="264"/>
      <c r="U5" s="264"/>
      <c r="V5" s="264"/>
      <c r="W5" s="264"/>
      <c r="X5" s="264"/>
      <c r="Y5" s="264"/>
      <c r="Z5" s="264"/>
      <c r="AA5" s="264"/>
      <c r="AB5" s="264"/>
      <c r="AC5" s="264"/>
      <c r="AD5" s="264"/>
      <c r="AE5" s="264"/>
      <c r="AF5" s="264"/>
      <c r="AG5" s="264"/>
      <c r="AH5" s="265"/>
      <c r="AI5" s="265"/>
      <c r="AJ5" s="265"/>
      <c r="AK5" s="265"/>
      <c r="AL5" s="265"/>
    </row>
    <row r="6" spans="1:38" s="220" customFormat="1" ht="24" hidden="1">
      <c r="A6" s="266" t="s">
        <v>771</v>
      </c>
      <c r="B6" s="266"/>
      <c r="C6" s="309"/>
      <c r="D6" s="266"/>
      <c r="E6" s="266"/>
      <c r="F6" s="266"/>
      <c r="G6" s="266"/>
      <c r="H6" s="266"/>
      <c r="I6" s="266"/>
      <c r="J6" s="267"/>
      <c r="K6" s="267"/>
      <c r="L6" s="319"/>
      <c r="M6" s="319"/>
      <c r="N6" s="263"/>
      <c r="O6" s="263"/>
      <c r="P6" s="263"/>
      <c r="Q6" s="263"/>
      <c r="R6" s="263"/>
      <c r="S6" s="263"/>
      <c r="T6" s="263"/>
      <c r="U6" s="263"/>
      <c r="V6" s="266" t="s">
        <v>785</v>
      </c>
      <c r="W6" s="263"/>
      <c r="X6" s="267"/>
      <c r="Y6" s="268">
        <f>'एकिकृत बिवरण'!$J$13/100000-331.31</f>
        <v>600.97694000000001</v>
      </c>
      <c r="Z6" s="269"/>
      <c r="AA6" s="270">
        <v>331.31</v>
      </c>
      <c r="AB6" s="270"/>
      <c r="AC6" s="270"/>
      <c r="AD6" s="270"/>
      <c r="AE6" s="270"/>
      <c r="AF6" s="270"/>
      <c r="AG6" s="270"/>
      <c r="AH6" s="614">
        <f>Y6+AA6</f>
        <v>932.28693999999996</v>
      </c>
      <c r="AI6" s="614"/>
      <c r="AJ6" s="266"/>
      <c r="AK6" s="266"/>
    </row>
    <row r="7" spans="1:38" s="220" customFormat="1" ht="24" hidden="1">
      <c r="A7" s="271" t="s">
        <v>772</v>
      </c>
      <c r="B7" s="266"/>
      <c r="C7" s="309"/>
      <c r="D7" s="266"/>
      <c r="E7" s="266"/>
      <c r="F7" s="266"/>
      <c r="G7" s="266"/>
      <c r="H7" s="266"/>
      <c r="I7" s="266"/>
      <c r="J7" s="267"/>
      <c r="K7" s="267"/>
      <c r="L7" s="319"/>
      <c r="M7" s="319"/>
      <c r="N7" s="263"/>
      <c r="O7" s="263"/>
      <c r="P7" s="263"/>
      <c r="Q7" s="267"/>
      <c r="R7" s="267"/>
      <c r="S7" s="267"/>
      <c r="T7" s="267"/>
      <c r="U7" s="267"/>
      <c r="V7" s="273" t="s">
        <v>779</v>
      </c>
      <c r="W7" s="267"/>
      <c r="X7" s="267"/>
      <c r="Y7" s="267"/>
      <c r="Z7" s="267"/>
      <c r="AA7" s="266"/>
      <c r="AB7" s="266"/>
      <c r="AC7" s="266"/>
      <c r="AD7" s="266"/>
      <c r="AE7" s="266"/>
      <c r="AF7" s="266"/>
      <c r="AG7" s="266"/>
      <c r="AH7" s="266"/>
      <c r="AI7" s="266"/>
      <c r="AJ7" s="266"/>
      <c r="AK7" s="266"/>
    </row>
    <row r="8" spans="1:38" s="220" customFormat="1" ht="24" hidden="1">
      <c r="A8" s="266" t="s">
        <v>773</v>
      </c>
      <c r="B8" s="266"/>
      <c r="C8" s="309"/>
      <c r="D8" s="266"/>
      <c r="E8" s="266"/>
      <c r="F8" s="266"/>
      <c r="G8" s="266"/>
      <c r="H8" s="266"/>
      <c r="I8" s="266"/>
      <c r="J8" s="267"/>
      <c r="K8" s="267"/>
      <c r="L8" s="319"/>
      <c r="M8" s="319"/>
      <c r="N8" s="263"/>
      <c r="O8" s="263"/>
      <c r="P8" s="263"/>
      <c r="Q8" s="263"/>
      <c r="R8" s="263"/>
      <c r="V8" s="267" t="s">
        <v>786</v>
      </c>
      <c r="W8" s="263"/>
      <c r="X8" s="263"/>
      <c r="Y8" s="267"/>
      <c r="Z8" s="267"/>
      <c r="AA8" s="266"/>
      <c r="AB8" s="266"/>
      <c r="AC8" s="266"/>
      <c r="AD8" s="266"/>
      <c r="AE8" s="266"/>
      <c r="AF8" s="266"/>
      <c r="AG8" s="266"/>
      <c r="AH8" s="266"/>
      <c r="AI8" s="266"/>
      <c r="AJ8" s="266"/>
      <c r="AK8" s="266"/>
    </row>
    <row r="9" spans="1:38" s="220" customFormat="1" ht="24" hidden="1">
      <c r="A9" s="266" t="s">
        <v>774</v>
      </c>
      <c r="B9" s="266"/>
      <c r="C9" s="309"/>
      <c r="D9" s="266"/>
      <c r="E9" s="266"/>
      <c r="F9" s="266"/>
      <c r="G9" s="266"/>
      <c r="H9" s="266"/>
      <c r="I9" s="266"/>
      <c r="J9" s="267"/>
      <c r="K9" s="267"/>
      <c r="L9" s="319"/>
      <c r="M9" s="319"/>
      <c r="N9" s="263"/>
      <c r="O9" s="267"/>
      <c r="P9" s="263"/>
      <c r="Q9" s="267"/>
      <c r="R9" s="267"/>
      <c r="S9" s="267"/>
      <c r="T9" s="267"/>
      <c r="U9" s="267"/>
      <c r="V9" s="267"/>
      <c r="W9" s="267"/>
      <c r="X9" s="267"/>
      <c r="Y9" s="267"/>
      <c r="Z9" s="267"/>
      <c r="AA9" s="266"/>
      <c r="AB9" s="266"/>
      <c r="AC9" s="266"/>
      <c r="AD9" s="266"/>
      <c r="AE9" s="266"/>
      <c r="AF9" s="266"/>
      <c r="AG9" s="266"/>
      <c r="AH9" s="266"/>
      <c r="AI9" s="266"/>
      <c r="AJ9" s="266"/>
      <c r="AK9" s="266"/>
    </row>
    <row r="10" spans="1:38" s="220" customFormat="1" ht="24" hidden="1">
      <c r="A10" s="266" t="s">
        <v>775</v>
      </c>
      <c r="B10" s="266"/>
      <c r="C10" s="309"/>
      <c r="D10" s="266"/>
      <c r="E10" s="266"/>
      <c r="F10" s="266"/>
      <c r="G10" s="266"/>
      <c r="H10" s="266"/>
      <c r="I10" s="266"/>
      <c r="J10" s="267"/>
      <c r="K10" s="267"/>
      <c r="L10" s="319"/>
      <c r="M10" s="319"/>
      <c r="N10" s="263"/>
      <c r="O10" s="263"/>
      <c r="P10" s="263"/>
      <c r="Q10" s="263"/>
      <c r="R10" s="263"/>
      <c r="S10" s="267"/>
      <c r="T10" s="267"/>
      <c r="U10" s="267"/>
      <c r="W10" s="267" t="s">
        <v>793</v>
      </c>
      <c r="Y10" s="267"/>
      <c r="Z10" s="267"/>
      <c r="AA10" s="266"/>
      <c r="AB10" s="266"/>
      <c r="AC10" s="266"/>
      <c r="AD10" s="266"/>
      <c r="AE10" s="266"/>
      <c r="AF10" s="266"/>
      <c r="AG10" s="266"/>
      <c r="AH10" s="266"/>
      <c r="AI10" s="266"/>
      <c r="AJ10" s="266"/>
      <c r="AK10" s="266"/>
    </row>
    <row r="11" spans="1:38" s="220" customFormat="1" ht="24" hidden="1">
      <c r="A11" s="266" t="s">
        <v>776</v>
      </c>
      <c r="B11" s="266"/>
      <c r="C11" s="309"/>
      <c r="D11" s="266"/>
      <c r="E11" s="266"/>
      <c r="F11" s="266"/>
      <c r="G11" s="266"/>
      <c r="H11" s="266"/>
      <c r="I11" s="266"/>
      <c r="J11" s="267"/>
      <c r="K11" s="267"/>
      <c r="L11" s="319"/>
      <c r="M11" s="319"/>
      <c r="N11" s="263"/>
      <c r="O11" s="267"/>
      <c r="P11" s="263"/>
      <c r="Q11" s="267"/>
      <c r="R11" s="267"/>
      <c r="S11" s="267"/>
      <c r="T11" s="267"/>
      <c r="U11" s="267"/>
      <c r="V11" s="267"/>
      <c r="W11" s="267"/>
      <c r="X11" s="267"/>
      <c r="Y11" s="267"/>
      <c r="Z11" s="267"/>
      <c r="AA11" s="266"/>
      <c r="AB11" s="266"/>
      <c r="AC11" s="266"/>
      <c r="AD11" s="266"/>
      <c r="AE11" s="266"/>
      <c r="AF11" s="266"/>
      <c r="AG11" s="266"/>
      <c r="AH11" s="266"/>
      <c r="AI11" s="266"/>
      <c r="AJ11" s="266"/>
      <c r="AK11" s="266"/>
    </row>
    <row r="12" spans="1:38" s="220" customFormat="1" ht="24" hidden="1">
      <c r="A12" s="266" t="s">
        <v>777</v>
      </c>
      <c r="B12" s="266"/>
      <c r="C12" s="309"/>
      <c r="D12" s="266"/>
      <c r="E12" s="266"/>
      <c r="F12" s="266"/>
      <c r="G12" s="266"/>
      <c r="H12" s="266"/>
      <c r="I12" s="266"/>
      <c r="J12" s="267"/>
      <c r="K12" s="267"/>
      <c r="L12" s="319"/>
      <c r="M12" s="319"/>
      <c r="N12" s="263"/>
      <c r="O12" s="263"/>
      <c r="P12" s="263"/>
      <c r="Q12" s="263"/>
      <c r="R12" s="263"/>
      <c r="S12" s="267"/>
      <c r="T12" s="267"/>
      <c r="U12" s="267"/>
      <c r="V12" s="267" t="s">
        <v>787</v>
      </c>
      <c r="W12" s="263"/>
      <c r="X12" s="267"/>
      <c r="Y12" s="267"/>
      <c r="Z12" s="267"/>
      <c r="AA12" s="266"/>
      <c r="AB12" s="266"/>
      <c r="AC12" s="266"/>
      <c r="AD12" s="266"/>
      <c r="AE12" s="266"/>
      <c r="AF12" s="266"/>
      <c r="AG12" s="266"/>
      <c r="AH12" s="266"/>
      <c r="AI12" s="266"/>
      <c r="AJ12" s="266"/>
      <c r="AK12" s="266"/>
    </row>
    <row r="13" spans="1:38" s="220" customFormat="1" ht="24" hidden="1">
      <c r="A13" s="266" t="s">
        <v>778</v>
      </c>
      <c r="B13" s="266"/>
      <c r="C13" s="310"/>
      <c r="D13" s="272"/>
      <c r="E13" s="272"/>
      <c r="F13" s="272"/>
      <c r="G13" s="272"/>
      <c r="H13" s="272"/>
      <c r="I13" s="272"/>
      <c r="J13" s="267"/>
      <c r="K13" s="267"/>
      <c r="L13" s="319"/>
      <c r="M13" s="319"/>
      <c r="N13" s="263"/>
      <c r="O13" s="263"/>
      <c r="P13" s="263"/>
      <c r="Q13" s="263"/>
      <c r="R13" s="263"/>
      <c r="S13" s="267"/>
      <c r="T13" s="267"/>
      <c r="U13" s="267"/>
      <c r="V13" s="267" t="s">
        <v>788</v>
      </c>
      <c r="W13" s="263"/>
      <c r="X13" s="267"/>
      <c r="Y13" s="267"/>
      <c r="Z13" s="267"/>
      <c r="AA13" s="266"/>
      <c r="AB13" s="266"/>
      <c r="AC13" s="266"/>
      <c r="AD13" s="266"/>
      <c r="AE13" s="266"/>
      <c r="AF13" s="266"/>
      <c r="AG13" s="266"/>
      <c r="AH13" s="266"/>
      <c r="AI13" s="266"/>
      <c r="AJ13" s="266"/>
      <c r="AK13" s="266"/>
    </row>
    <row r="14" spans="1:38" s="220" customFormat="1" ht="24" hidden="1">
      <c r="A14" s="273" t="s">
        <v>779</v>
      </c>
      <c r="B14" s="266"/>
      <c r="C14" s="310"/>
      <c r="D14" s="272"/>
      <c r="E14" s="272"/>
      <c r="F14" s="272"/>
      <c r="G14" s="272"/>
      <c r="H14" s="272"/>
      <c r="I14" s="272"/>
      <c r="J14" s="267"/>
      <c r="K14" s="267"/>
      <c r="L14" s="319"/>
      <c r="M14" s="319"/>
      <c r="N14" s="263"/>
      <c r="O14" s="263"/>
      <c r="P14" s="263"/>
      <c r="Q14" s="267"/>
      <c r="R14" s="267"/>
      <c r="S14" s="267"/>
      <c r="T14" s="267"/>
      <c r="U14" s="267"/>
      <c r="V14" s="267" t="s">
        <v>789</v>
      </c>
      <c r="W14" s="267"/>
      <c r="X14" s="267"/>
      <c r="Y14" s="267"/>
      <c r="Z14" s="267"/>
      <c r="AA14" s="266"/>
      <c r="AB14" s="266"/>
      <c r="AC14" s="266"/>
      <c r="AD14" s="266"/>
      <c r="AE14" s="266"/>
      <c r="AF14" s="266"/>
      <c r="AG14" s="266"/>
      <c r="AH14" s="266"/>
      <c r="AI14" s="266"/>
      <c r="AJ14" s="266"/>
      <c r="AL14" s="274" t="e">
        <f>Y6/#REF!*100</f>
        <v>#REF!</v>
      </c>
    </row>
    <row r="15" spans="1:38" s="220" customFormat="1" ht="24" hidden="1">
      <c r="A15" s="266" t="s">
        <v>780</v>
      </c>
      <c r="B15" s="266"/>
      <c r="C15" s="309"/>
      <c r="D15" s="266"/>
      <c r="E15" s="266"/>
      <c r="F15" s="266"/>
      <c r="G15" s="266"/>
      <c r="H15" s="266"/>
      <c r="I15" s="266"/>
      <c r="J15" s="267"/>
      <c r="K15" s="267"/>
      <c r="L15" s="319"/>
      <c r="M15" s="319"/>
      <c r="N15" s="263"/>
      <c r="O15" s="263"/>
      <c r="P15" s="263"/>
      <c r="Q15" s="267"/>
      <c r="R15" s="267"/>
      <c r="S15" s="267"/>
      <c r="T15" s="267"/>
      <c r="U15" s="267"/>
      <c r="V15" s="267" t="s">
        <v>790</v>
      </c>
      <c r="W15" s="267"/>
      <c r="X15" s="267"/>
      <c r="Y15" s="267"/>
      <c r="Z15" s="267"/>
      <c r="AA15" s="266"/>
      <c r="AB15" s="266"/>
      <c r="AC15" s="266"/>
      <c r="AD15" s="266"/>
      <c r="AE15" s="266"/>
      <c r="AF15" s="266"/>
      <c r="AG15" s="266"/>
      <c r="AH15" s="266"/>
      <c r="AI15" s="266"/>
      <c r="AJ15" s="266"/>
      <c r="AL15" s="275">
        <f>AH6/L136*100</f>
        <v>66.119641134751788</v>
      </c>
    </row>
    <row r="16" spans="1:38" s="220" customFormat="1" ht="24" hidden="1">
      <c r="A16" s="266" t="s">
        <v>781</v>
      </c>
      <c r="B16" s="266"/>
      <c r="C16" s="309"/>
      <c r="D16" s="266"/>
      <c r="E16" s="266"/>
      <c r="F16" s="266"/>
      <c r="G16" s="266"/>
      <c r="H16" s="266"/>
      <c r="I16" s="266"/>
      <c r="J16" s="267"/>
      <c r="K16" s="267"/>
      <c r="L16" s="319"/>
      <c r="M16" s="319"/>
      <c r="N16" s="263"/>
      <c r="O16" s="263"/>
      <c r="P16" s="263"/>
      <c r="Q16" s="267"/>
      <c r="R16" s="267"/>
      <c r="S16" s="267"/>
      <c r="T16" s="267"/>
      <c r="U16" s="267"/>
      <c r="V16" s="267" t="s">
        <v>791</v>
      </c>
      <c r="W16" s="267"/>
      <c r="X16" s="267"/>
      <c r="Y16" s="267"/>
      <c r="Z16" s="267"/>
      <c r="AA16" s="266"/>
      <c r="AB16" s="266"/>
      <c r="AC16" s="266"/>
      <c r="AD16" s="266"/>
      <c r="AE16" s="266"/>
      <c r="AF16" s="266"/>
      <c r="AG16" s="266"/>
      <c r="AH16" s="266"/>
      <c r="AI16" s="266"/>
      <c r="AJ16" s="266"/>
      <c r="AK16" s="266"/>
      <c r="AL16" s="266"/>
    </row>
    <row r="17" spans="1:48" s="220" customFormat="1" ht="24" hidden="1">
      <c r="A17" s="266" t="s">
        <v>782</v>
      </c>
      <c r="B17" s="266"/>
      <c r="C17" s="309"/>
      <c r="D17" s="266"/>
      <c r="E17" s="266"/>
      <c r="F17" s="266"/>
      <c r="G17" s="266"/>
      <c r="H17" s="266"/>
      <c r="I17" s="266"/>
      <c r="J17" s="267"/>
      <c r="K17" s="267"/>
      <c r="L17" s="319"/>
      <c r="M17" s="319"/>
      <c r="N17" s="263"/>
      <c r="O17" s="263"/>
      <c r="P17" s="263"/>
      <c r="Q17" s="267"/>
      <c r="R17" s="267"/>
      <c r="S17" s="267"/>
      <c r="T17" s="267"/>
      <c r="U17" s="267"/>
      <c r="V17" s="267" t="s">
        <v>792</v>
      </c>
      <c r="W17" s="267"/>
      <c r="X17" s="267"/>
      <c r="Y17" s="267"/>
      <c r="Z17" s="267"/>
      <c r="AA17" s="266"/>
      <c r="AB17" s="266"/>
      <c r="AC17" s="266"/>
      <c r="AD17" s="266"/>
      <c r="AE17" s="266"/>
      <c r="AF17" s="266"/>
      <c r="AG17" s="266"/>
      <c r="AH17" s="266"/>
      <c r="AI17" s="266"/>
      <c r="AJ17" s="266"/>
      <c r="AL17" s="276">
        <f>AI136</f>
        <v>3.410283687943263</v>
      </c>
    </row>
    <row r="18" spans="1:48" s="220" customFormat="1" ht="24" hidden="1">
      <c r="A18" s="266" t="s">
        <v>806</v>
      </c>
      <c r="B18" s="266"/>
      <c r="C18" s="309"/>
      <c r="D18" s="266"/>
      <c r="E18" s="266"/>
      <c r="F18" s="266"/>
      <c r="G18" s="266"/>
      <c r="H18" s="266"/>
      <c r="I18" s="266"/>
      <c r="J18" s="267"/>
      <c r="K18" s="267"/>
      <c r="L18" s="319"/>
      <c r="M18" s="319"/>
      <c r="N18" s="267"/>
      <c r="O18" s="267"/>
      <c r="P18" s="267"/>
      <c r="Q18" s="267"/>
      <c r="R18" s="267"/>
      <c r="S18" s="267"/>
      <c r="T18" s="344" t="s">
        <v>811</v>
      </c>
      <c r="U18" s="345">
        <f>T135</f>
        <v>683.29</v>
      </c>
      <c r="V18" s="267"/>
      <c r="W18" s="267"/>
      <c r="X18" s="267"/>
      <c r="Y18" s="267"/>
      <c r="Z18" s="267"/>
      <c r="AA18" s="266"/>
      <c r="AB18" s="266"/>
      <c r="AC18" s="266"/>
      <c r="AD18" s="266"/>
      <c r="AE18" s="266"/>
      <c r="AF18" s="266"/>
      <c r="AG18" s="266"/>
      <c r="AH18" s="266"/>
      <c r="AI18" s="266"/>
      <c r="AJ18" s="330" t="s">
        <v>802</v>
      </c>
      <c r="AK18" s="266"/>
    </row>
    <row r="19" spans="1:48" s="220" customFormat="1" ht="45.6" hidden="1" customHeight="1">
      <c r="A19" s="621" t="s">
        <v>752</v>
      </c>
      <c r="B19" s="621" t="s">
        <v>753</v>
      </c>
      <c r="C19" s="611" t="s">
        <v>754</v>
      </c>
      <c r="D19" s="611" t="s">
        <v>755</v>
      </c>
      <c r="E19" s="611"/>
      <c r="F19" s="611"/>
      <c r="G19" s="611" t="s">
        <v>759</v>
      </c>
      <c r="H19" s="611"/>
      <c r="I19" s="611"/>
      <c r="J19" s="622" t="s">
        <v>760</v>
      </c>
      <c r="K19" s="623"/>
      <c r="L19" s="623"/>
      <c r="M19" s="624"/>
      <c r="N19" s="611" t="s">
        <v>815</v>
      </c>
      <c r="O19" s="626"/>
      <c r="P19" s="627"/>
      <c r="Q19" s="611" t="s">
        <v>816</v>
      </c>
      <c r="R19" s="611"/>
      <c r="S19" s="611"/>
      <c r="T19" s="611" t="s">
        <v>817</v>
      </c>
      <c r="U19" s="611"/>
      <c r="V19" s="621" t="s">
        <v>764</v>
      </c>
      <c r="W19" s="621"/>
      <c r="X19" s="621"/>
      <c r="Y19" s="611" t="s">
        <v>765</v>
      </c>
      <c r="Z19" s="611"/>
      <c r="AA19" s="611"/>
      <c r="AB19" s="611" t="s">
        <v>767</v>
      </c>
      <c r="AC19" s="611"/>
      <c r="AD19" s="611"/>
      <c r="AE19" s="611" t="s">
        <v>766</v>
      </c>
      <c r="AF19" s="611"/>
      <c r="AG19" s="611"/>
      <c r="AH19" s="618" t="s">
        <v>768</v>
      </c>
      <c r="AI19" s="618"/>
      <c r="AJ19" s="618" t="s">
        <v>769</v>
      </c>
      <c r="AK19" s="618"/>
      <c r="AL19" s="621" t="s">
        <v>497</v>
      </c>
    </row>
    <row r="20" spans="1:48" s="220" customFormat="1" ht="28.5" hidden="1" customHeight="1">
      <c r="A20" s="621"/>
      <c r="B20" s="621"/>
      <c r="C20" s="611"/>
      <c r="D20" s="349" t="s">
        <v>761</v>
      </c>
      <c r="E20" s="349" t="s">
        <v>757</v>
      </c>
      <c r="F20" s="349" t="s">
        <v>758</v>
      </c>
      <c r="G20" s="349" t="s">
        <v>761</v>
      </c>
      <c r="H20" s="349" t="s">
        <v>757</v>
      </c>
      <c r="I20" s="349" t="s">
        <v>758</v>
      </c>
      <c r="J20" s="349" t="s">
        <v>761</v>
      </c>
      <c r="K20" s="349" t="s">
        <v>757</v>
      </c>
      <c r="L20" s="335" t="s">
        <v>758</v>
      </c>
      <c r="M20" s="335" t="s">
        <v>814</v>
      </c>
      <c r="N20" s="349" t="s">
        <v>761</v>
      </c>
      <c r="O20" s="349" t="s">
        <v>757</v>
      </c>
      <c r="P20" s="349" t="s">
        <v>758</v>
      </c>
      <c r="Q20" s="349" t="s">
        <v>761</v>
      </c>
      <c r="R20" s="349" t="s">
        <v>757</v>
      </c>
      <c r="S20" s="349" t="s">
        <v>805</v>
      </c>
      <c r="T20" s="349" t="s">
        <v>804</v>
      </c>
      <c r="U20" s="349" t="s">
        <v>805</v>
      </c>
      <c r="V20" s="349" t="s">
        <v>761</v>
      </c>
      <c r="W20" s="349" t="s">
        <v>757</v>
      </c>
      <c r="X20" s="349" t="s">
        <v>758</v>
      </c>
      <c r="Y20" s="349" t="s">
        <v>761</v>
      </c>
      <c r="Z20" s="349" t="s">
        <v>757</v>
      </c>
      <c r="AA20" s="349" t="s">
        <v>758</v>
      </c>
      <c r="AB20" s="349"/>
      <c r="AC20" s="349"/>
      <c r="AD20" s="349"/>
      <c r="AE20" s="349"/>
      <c r="AF20" s="349"/>
      <c r="AG20" s="349"/>
      <c r="AH20" s="336"/>
      <c r="AI20" s="336"/>
      <c r="AJ20" s="348"/>
      <c r="AK20" s="337"/>
      <c r="AL20" s="621"/>
    </row>
    <row r="21" spans="1:48" s="220" customFormat="1" ht="19.5" hidden="1">
      <c r="A21" s="278">
        <v>1</v>
      </c>
      <c r="B21" s="278">
        <v>2</v>
      </c>
      <c r="C21" s="278">
        <v>3</v>
      </c>
      <c r="D21" s="278">
        <v>4</v>
      </c>
      <c r="E21" s="278">
        <v>5</v>
      </c>
      <c r="F21" s="278">
        <v>6</v>
      </c>
      <c r="G21" s="278">
        <v>7</v>
      </c>
      <c r="H21" s="278">
        <v>8</v>
      </c>
      <c r="I21" s="278">
        <v>9</v>
      </c>
      <c r="J21" s="347">
        <v>4</v>
      </c>
      <c r="K21" s="278">
        <v>5</v>
      </c>
      <c r="L21" s="278">
        <v>6</v>
      </c>
      <c r="M21" s="278"/>
      <c r="N21" s="278">
        <v>7</v>
      </c>
      <c r="O21" s="278">
        <v>8</v>
      </c>
      <c r="P21" s="278">
        <v>9</v>
      </c>
      <c r="Q21" s="278">
        <v>10</v>
      </c>
      <c r="R21" s="278">
        <v>11</v>
      </c>
      <c r="S21" s="347">
        <v>12</v>
      </c>
      <c r="T21" s="278">
        <v>13</v>
      </c>
      <c r="U21" s="278">
        <v>14</v>
      </c>
      <c r="V21" s="278">
        <v>13</v>
      </c>
      <c r="W21" s="278">
        <v>13.5</v>
      </c>
      <c r="X21" s="278">
        <v>14</v>
      </c>
      <c r="Y21" s="278">
        <v>14.5</v>
      </c>
      <c r="Z21" s="278">
        <v>15</v>
      </c>
      <c r="AA21" s="347">
        <v>15.5</v>
      </c>
      <c r="AB21" s="278">
        <v>16</v>
      </c>
      <c r="AC21" s="278">
        <v>16.5</v>
      </c>
      <c r="AD21" s="278">
        <v>17</v>
      </c>
      <c r="AE21" s="278">
        <v>17.5</v>
      </c>
      <c r="AF21" s="278">
        <v>18</v>
      </c>
      <c r="AG21" s="278">
        <v>18.5</v>
      </c>
      <c r="AH21" s="278">
        <v>19</v>
      </c>
      <c r="AI21" s="347">
        <v>19.5</v>
      </c>
      <c r="AJ21" s="278">
        <v>20</v>
      </c>
      <c r="AK21" s="278">
        <v>20.5</v>
      </c>
      <c r="AL21" s="278">
        <v>15</v>
      </c>
    </row>
    <row r="22" spans="1:48" s="350" customFormat="1" ht="13.15" hidden="1" customHeight="1">
      <c r="A22" s="301" t="s">
        <v>511</v>
      </c>
      <c r="B22" s="301" t="s">
        <v>602</v>
      </c>
      <c r="C22" s="282" t="s">
        <v>794</v>
      </c>
      <c r="D22" s="282"/>
      <c r="E22" s="282"/>
      <c r="F22" s="282"/>
      <c r="G22" s="282"/>
      <c r="H22" s="282"/>
      <c r="I22" s="282"/>
      <c r="J22" s="367">
        <v>1</v>
      </c>
      <c r="K22" s="368">
        <f>(L22/$L$135)*100</f>
        <v>3.191489361702128</v>
      </c>
      <c r="L22" s="368">
        <v>45</v>
      </c>
      <c r="M22" s="368">
        <v>0</v>
      </c>
      <c r="N22" s="367">
        <f>J22</f>
        <v>1</v>
      </c>
      <c r="O22" s="368">
        <f>P22/$P$136*100</f>
        <v>0</v>
      </c>
      <c r="P22" s="368">
        <f>M22</f>
        <v>0</v>
      </c>
      <c r="Q22" s="367">
        <v>0.1</v>
      </c>
      <c r="R22" s="368">
        <f t="shared" ref="R22:R85" si="0">IF(N22=0,Q22/J22*K22,Q22/N22*O22)</f>
        <v>0</v>
      </c>
      <c r="S22" s="367">
        <f t="shared" ref="S22:S30" si="1">ROUND(IF(O22=0,R22/K22*100,R22/O22*100),2)</f>
        <v>0</v>
      </c>
      <c r="T22" s="367">
        <v>0</v>
      </c>
      <c r="U22" s="367">
        <f>IFERROR(T22/P22*100,0)</f>
        <v>0</v>
      </c>
      <c r="V22" s="367"/>
      <c r="W22" s="367"/>
      <c r="X22" s="367"/>
      <c r="Y22" s="367"/>
      <c r="Z22" s="367"/>
      <c r="AA22" s="367"/>
      <c r="AB22" s="367"/>
      <c r="AC22" s="367"/>
      <c r="AD22" s="367"/>
      <c r="AE22" s="367"/>
      <c r="AF22" s="367"/>
      <c r="AG22" s="367"/>
      <c r="AH22" s="367"/>
      <c r="AI22" s="367"/>
      <c r="AJ22" s="367"/>
      <c r="AK22" s="367"/>
      <c r="AL22" s="405"/>
      <c r="AM22" s="263"/>
      <c r="AN22" s="263"/>
      <c r="AO22" s="263"/>
      <c r="AP22" s="263"/>
      <c r="AQ22" s="263"/>
      <c r="AR22" s="263"/>
      <c r="AS22" s="263"/>
      <c r="AT22" s="263"/>
      <c r="AU22" s="263"/>
      <c r="AV22" s="263"/>
    </row>
    <row r="23" spans="1:48" s="350" customFormat="1" ht="39" hidden="1">
      <c r="A23" s="304" t="s">
        <v>517</v>
      </c>
      <c r="B23" s="380" t="s">
        <v>603</v>
      </c>
      <c r="C23" s="284" t="s">
        <v>795</v>
      </c>
      <c r="D23" s="284"/>
      <c r="E23" s="284"/>
      <c r="F23" s="284"/>
      <c r="G23" s="284"/>
      <c r="H23" s="284"/>
      <c r="I23" s="284"/>
      <c r="J23" s="366">
        <v>20</v>
      </c>
      <c r="K23" s="370">
        <f>(L23/$L$135)*100</f>
        <v>10.638297872340427</v>
      </c>
      <c r="L23" s="370">
        <v>150</v>
      </c>
      <c r="M23" s="370">
        <v>106.5</v>
      </c>
      <c r="N23" s="366">
        <f t="shared" ref="N23:N86" si="2">J23</f>
        <v>20</v>
      </c>
      <c r="O23" s="370">
        <f t="shared" ref="O23:O86" si="3">P23/$P$136*100</f>
        <v>15.106382978723406</v>
      </c>
      <c r="P23" s="370">
        <f t="shared" ref="P23:P86" si="4">M23</f>
        <v>106.5</v>
      </c>
      <c r="Q23" s="366">
        <v>20</v>
      </c>
      <c r="R23" s="370">
        <f t="shared" si="0"/>
        <v>15.106382978723406</v>
      </c>
      <c r="S23" s="366">
        <f t="shared" si="1"/>
        <v>100</v>
      </c>
      <c r="T23" s="366">
        <v>105.39</v>
      </c>
      <c r="U23" s="370">
        <f t="shared" ref="U23:U86" si="5">IFERROR(T23/P23*100,0)</f>
        <v>98.957746478873247</v>
      </c>
      <c r="V23" s="366"/>
      <c r="W23" s="366"/>
      <c r="X23" s="366"/>
      <c r="Y23" s="366"/>
      <c r="Z23" s="366"/>
      <c r="AA23" s="366"/>
      <c r="AB23" s="366"/>
      <c r="AC23" s="366"/>
      <c r="AD23" s="366"/>
      <c r="AE23" s="366"/>
      <c r="AF23" s="366"/>
      <c r="AG23" s="366"/>
      <c r="AH23" s="366"/>
      <c r="AI23" s="366"/>
      <c r="AJ23" s="366"/>
      <c r="AK23" s="366"/>
      <c r="AL23" s="360"/>
      <c r="AM23" s="263" t="s">
        <v>821</v>
      </c>
      <c r="AN23" s="263"/>
      <c r="AO23" s="263"/>
      <c r="AP23" s="263"/>
      <c r="AQ23" s="263"/>
      <c r="AR23" s="263"/>
      <c r="AS23" s="263"/>
      <c r="AT23" s="263"/>
      <c r="AU23" s="263"/>
      <c r="AV23" s="263"/>
    </row>
    <row r="24" spans="1:48" s="350" customFormat="1" ht="39">
      <c r="A24" s="304" t="s">
        <v>232</v>
      </c>
      <c r="B24" s="304" t="s">
        <v>604</v>
      </c>
      <c r="C24" s="284" t="s">
        <v>794</v>
      </c>
      <c r="D24" s="284"/>
      <c r="E24" s="284"/>
      <c r="F24" s="284"/>
      <c r="G24" s="284"/>
      <c r="H24" s="284"/>
      <c r="I24" s="284"/>
      <c r="J24" s="366">
        <v>3.4</v>
      </c>
      <c r="K24" s="370">
        <f t="shared" ref="K24:K87" si="6">(L24/$L$135)*100</f>
        <v>7.0921985815602842</v>
      </c>
      <c r="L24" s="370">
        <v>100</v>
      </c>
      <c r="M24" s="370">
        <v>80</v>
      </c>
      <c r="N24" s="366">
        <f t="shared" si="2"/>
        <v>3.4</v>
      </c>
      <c r="O24" s="370">
        <f t="shared" si="3"/>
        <v>11.347517730496456</v>
      </c>
      <c r="P24" s="370">
        <f t="shared" si="4"/>
        <v>80</v>
      </c>
      <c r="Q24" s="366">
        <f t="shared" ref="Q24:Q87" si="7">J24</f>
        <v>3.4</v>
      </c>
      <c r="R24" s="370">
        <f t="shared" si="0"/>
        <v>11.347517730496456</v>
      </c>
      <c r="S24" s="366">
        <f t="shared" si="1"/>
        <v>100</v>
      </c>
      <c r="T24" s="366">
        <v>79.58</v>
      </c>
      <c r="U24" s="370">
        <f t="shared" si="5"/>
        <v>99.475000000000009</v>
      </c>
      <c r="V24" s="366"/>
      <c r="W24" s="366"/>
      <c r="X24" s="366"/>
      <c r="Y24" s="366"/>
      <c r="Z24" s="366"/>
      <c r="AA24" s="366"/>
      <c r="AB24" s="366"/>
      <c r="AC24" s="366"/>
      <c r="AD24" s="366"/>
      <c r="AE24" s="366"/>
      <c r="AF24" s="366"/>
      <c r="AG24" s="366"/>
      <c r="AH24" s="366"/>
      <c r="AI24" s="366"/>
      <c r="AJ24" s="366"/>
      <c r="AK24" s="366"/>
      <c r="AL24" s="360"/>
      <c r="AM24" s="263" t="s">
        <v>822</v>
      </c>
      <c r="AN24" s="263"/>
      <c r="AO24" s="263"/>
      <c r="AP24" s="263"/>
      <c r="AQ24" s="263"/>
      <c r="AR24" s="263"/>
      <c r="AS24" s="263"/>
      <c r="AT24" s="263"/>
      <c r="AU24" s="263"/>
      <c r="AV24" s="263"/>
    </row>
    <row r="25" spans="1:48" s="350" customFormat="1" ht="39">
      <c r="A25" s="304" t="s">
        <v>234</v>
      </c>
      <c r="B25" s="304" t="s">
        <v>605</v>
      </c>
      <c r="C25" s="284" t="s">
        <v>794</v>
      </c>
      <c r="D25" s="284"/>
      <c r="E25" s="284"/>
      <c r="F25" s="284"/>
      <c r="G25" s="284"/>
      <c r="H25" s="284"/>
      <c r="I25" s="284"/>
      <c r="J25" s="366">
        <v>2.96</v>
      </c>
      <c r="K25" s="370">
        <f t="shared" si="6"/>
        <v>4.255319148936171</v>
      </c>
      <c r="L25" s="370">
        <v>60</v>
      </c>
      <c r="M25" s="370">
        <v>40</v>
      </c>
      <c r="N25" s="366">
        <f t="shared" si="2"/>
        <v>2.96</v>
      </c>
      <c r="O25" s="370">
        <f t="shared" si="3"/>
        <v>5.673758865248228</v>
      </c>
      <c r="P25" s="370">
        <f t="shared" si="4"/>
        <v>40</v>
      </c>
      <c r="Q25" s="366">
        <f t="shared" si="7"/>
        <v>2.96</v>
      </c>
      <c r="R25" s="370">
        <f t="shared" si="0"/>
        <v>5.673758865248228</v>
      </c>
      <c r="S25" s="366">
        <f t="shared" si="1"/>
        <v>100</v>
      </c>
      <c r="T25" s="366">
        <v>39.479999999999997</v>
      </c>
      <c r="U25" s="370">
        <f t="shared" si="5"/>
        <v>98.699999999999989</v>
      </c>
      <c r="V25" s="366"/>
      <c r="W25" s="366"/>
      <c r="X25" s="366"/>
      <c r="Y25" s="366"/>
      <c r="Z25" s="366"/>
      <c r="AA25" s="366"/>
      <c r="AB25" s="366"/>
      <c r="AC25" s="366"/>
      <c r="AD25" s="366"/>
      <c r="AE25" s="366"/>
      <c r="AF25" s="366"/>
      <c r="AG25" s="366"/>
      <c r="AH25" s="366"/>
      <c r="AI25" s="366"/>
      <c r="AJ25" s="366"/>
      <c r="AK25" s="366"/>
      <c r="AL25" s="360"/>
      <c r="AM25" s="263" t="s">
        <v>822</v>
      </c>
      <c r="AN25" s="263"/>
      <c r="AO25" s="263"/>
      <c r="AP25" s="263"/>
      <c r="AQ25" s="263"/>
      <c r="AR25" s="263"/>
      <c r="AS25" s="263"/>
      <c r="AT25" s="263"/>
      <c r="AU25" s="263"/>
      <c r="AV25" s="263"/>
    </row>
    <row r="26" spans="1:48" s="350" customFormat="1" ht="58.5">
      <c r="A26" s="304" t="s">
        <v>240</v>
      </c>
      <c r="B26" s="304" t="s">
        <v>606</v>
      </c>
      <c r="C26" s="284" t="s">
        <v>794</v>
      </c>
      <c r="D26" s="284"/>
      <c r="E26" s="284"/>
      <c r="F26" s="284"/>
      <c r="G26" s="284"/>
      <c r="H26" s="284"/>
      <c r="I26" s="284"/>
      <c r="J26" s="366">
        <v>1</v>
      </c>
      <c r="K26" s="370">
        <f t="shared" si="6"/>
        <v>0.35460992907801425</v>
      </c>
      <c r="L26" s="370">
        <v>5</v>
      </c>
      <c r="M26" s="370">
        <v>5</v>
      </c>
      <c r="N26" s="366">
        <f t="shared" si="2"/>
        <v>1</v>
      </c>
      <c r="O26" s="370">
        <f t="shared" si="3"/>
        <v>0.7092198581560285</v>
      </c>
      <c r="P26" s="370">
        <f t="shared" si="4"/>
        <v>5</v>
      </c>
      <c r="Q26" s="366">
        <f t="shared" si="7"/>
        <v>1</v>
      </c>
      <c r="R26" s="370">
        <f t="shared" si="0"/>
        <v>0.7092198581560285</v>
      </c>
      <c r="S26" s="366">
        <f t="shared" si="1"/>
        <v>100</v>
      </c>
      <c r="T26" s="366">
        <v>4.99</v>
      </c>
      <c r="U26" s="370">
        <f>IFERROR(T26/L26*100,0)</f>
        <v>99.8</v>
      </c>
      <c r="V26" s="366"/>
      <c r="W26" s="366"/>
      <c r="X26" s="366"/>
      <c r="Y26" s="366"/>
      <c r="Z26" s="366"/>
      <c r="AA26" s="366"/>
      <c r="AB26" s="366"/>
      <c r="AC26" s="366"/>
      <c r="AD26" s="366"/>
      <c r="AE26" s="366"/>
      <c r="AF26" s="366"/>
      <c r="AG26" s="366"/>
      <c r="AH26" s="366"/>
      <c r="AI26" s="366"/>
      <c r="AJ26" s="366"/>
      <c r="AK26" s="366"/>
      <c r="AL26" s="360"/>
      <c r="AM26" s="263" t="s">
        <v>822</v>
      </c>
      <c r="AN26" s="263"/>
      <c r="AO26" s="263"/>
      <c r="AP26" s="263"/>
      <c r="AQ26" s="263"/>
      <c r="AR26" s="263"/>
      <c r="AS26" s="263"/>
      <c r="AT26" s="263"/>
      <c r="AU26" s="263"/>
      <c r="AV26" s="263"/>
    </row>
    <row r="27" spans="1:48" s="350" customFormat="1" ht="58.5">
      <c r="A27" s="304" t="s">
        <v>242</v>
      </c>
      <c r="B27" s="304" t="s">
        <v>607</v>
      </c>
      <c r="C27" s="284" t="s">
        <v>794</v>
      </c>
      <c r="D27" s="284"/>
      <c r="E27" s="284"/>
      <c r="F27" s="284"/>
      <c r="G27" s="284"/>
      <c r="H27" s="284"/>
      <c r="I27" s="284"/>
      <c r="J27" s="366">
        <v>1</v>
      </c>
      <c r="K27" s="370">
        <f t="shared" si="6"/>
        <v>0.7092198581560285</v>
      </c>
      <c r="L27" s="370">
        <v>10</v>
      </c>
      <c r="M27" s="370">
        <v>5</v>
      </c>
      <c r="N27" s="366">
        <f t="shared" si="2"/>
        <v>1</v>
      </c>
      <c r="O27" s="370">
        <f t="shared" si="3"/>
        <v>0.7092198581560285</v>
      </c>
      <c r="P27" s="370">
        <f t="shared" si="4"/>
        <v>5</v>
      </c>
      <c r="Q27" s="366">
        <f t="shared" si="7"/>
        <v>1</v>
      </c>
      <c r="R27" s="370">
        <f t="shared" si="0"/>
        <v>0.7092198581560285</v>
      </c>
      <c r="S27" s="366">
        <f t="shared" si="1"/>
        <v>100</v>
      </c>
      <c r="T27" s="366">
        <v>4.99</v>
      </c>
      <c r="U27" s="370">
        <f t="shared" si="5"/>
        <v>99.8</v>
      </c>
      <c r="V27" s="366"/>
      <c r="W27" s="366"/>
      <c r="X27" s="366"/>
      <c r="Y27" s="366"/>
      <c r="Z27" s="366"/>
      <c r="AA27" s="366"/>
      <c r="AB27" s="366"/>
      <c r="AC27" s="366"/>
      <c r="AD27" s="366"/>
      <c r="AE27" s="366"/>
      <c r="AF27" s="366"/>
      <c r="AG27" s="366"/>
      <c r="AH27" s="366"/>
      <c r="AI27" s="366"/>
      <c r="AJ27" s="366"/>
      <c r="AK27" s="366"/>
      <c r="AL27" s="360"/>
      <c r="AM27" s="263" t="s">
        <v>822</v>
      </c>
      <c r="AN27" s="263"/>
      <c r="AO27" s="263"/>
      <c r="AP27" s="263"/>
      <c r="AQ27" s="263"/>
      <c r="AR27" s="263"/>
      <c r="AS27" s="263"/>
      <c r="AT27" s="263"/>
      <c r="AU27" s="263"/>
      <c r="AV27" s="263"/>
    </row>
    <row r="28" spans="1:48" s="350" customFormat="1" ht="58.5">
      <c r="A28" s="304" t="s">
        <v>244</v>
      </c>
      <c r="B28" s="304" t="s">
        <v>608</v>
      </c>
      <c r="C28" s="284" t="s">
        <v>794</v>
      </c>
      <c r="D28" s="284"/>
      <c r="E28" s="284"/>
      <c r="F28" s="284"/>
      <c r="G28" s="284"/>
      <c r="H28" s="284"/>
      <c r="I28" s="284"/>
      <c r="J28" s="366">
        <v>1</v>
      </c>
      <c r="K28" s="370">
        <f t="shared" si="6"/>
        <v>0.7092198581560285</v>
      </c>
      <c r="L28" s="370">
        <v>10</v>
      </c>
      <c r="M28" s="370">
        <v>5</v>
      </c>
      <c r="N28" s="366">
        <f t="shared" si="2"/>
        <v>1</v>
      </c>
      <c r="O28" s="370">
        <f t="shared" si="3"/>
        <v>0.7092198581560285</v>
      </c>
      <c r="P28" s="370">
        <f t="shared" si="4"/>
        <v>5</v>
      </c>
      <c r="Q28" s="366">
        <f t="shared" si="7"/>
        <v>1</v>
      </c>
      <c r="R28" s="370">
        <f t="shared" si="0"/>
        <v>0.7092198581560285</v>
      </c>
      <c r="S28" s="366">
        <f t="shared" si="1"/>
        <v>100</v>
      </c>
      <c r="T28" s="366">
        <v>4.99</v>
      </c>
      <c r="U28" s="370">
        <f t="shared" si="5"/>
        <v>99.8</v>
      </c>
      <c r="V28" s="366"/>
      <c r="W28" s="366"/>
      <c r="X28" s="366"/>
      <c r="Y28" s="366"/>
      <c r="Z28" s="366"/>
      <c r="AA28" s="366"/>
      <c r="AB28" s="366"/>
      <c r="AC28" s="366"/>
      <c r="AD28" s="366"/>
      <c r="AE28" s="366"/>
      <c r="AF28" s="366"/>
      <c r="AG28" s="366"/>
      <c r="AH28" s="366"/>
      <c r="AI28" s="366"/>
      <c r="AJ28" s="366"/>
      <c r="AK28" s="366"/>
      <c r="AL28" s="360"/>
      <c r="AM28" s="263" t="s">
        <v>822</v>
      </c>
      <c r="AN28" s="263"/>
      <c r="AO28" s="263"/>
      <c r="AP28" s="263"/>
      <c r="AQ28" s="263"/>
      <c r="AR28" s="263"/>
      <c r="AS28" s="263"/>
      <c r="AT28" s="263"/>
      <c r="AU28" s="263"/>
      <c r="AV28" s="263"/>
    </row>
    <row r="29" spans="1:48" s="350" customFormat="1" ht="58.5">
      <c r="A29" s="304" t="s">
        <v>246</v>
      </c>
      <c r="B29" s="304" t="s">
        <v>609</v>
      </c>
      <c r="C29" s="284" t="s">
        <v>794</v>
      </c>
      <c r="D29" s="284"/>
      <c r="E29" s="284"/>
      <c r="F29" s="284"/>
      <c r="G29" s="284"/>
      <c r="H29" s="284"/>
      <c r="I29" s="284"/>
      <c r="J29" s="366">
        <v>1</v>
      </c>
      <c r="K29" s="370">
        <f t="shared" si="6"/>
        <v>0.7092198581560285</v>
      </c>
      <c r="L29" s="370">
        <v>10</v>
      </c>
      <c r="M29" s="370">
        <v>5</v>
      </c>
      <c r="N29" s="366">
        <f t="shared" si="2"/>
        <v>1</v>
      </c>
      <c r="O29" s="370">
        <f t="shared" si="3"/>
        <v>0.7092198581560285</v>
      </c>
      <c r="P29" s="370">
        <f t="shared" si="4"/>
        <v>5</v>
      </c>
      <c r="Q29" s="366">
        <f t="shared" si="7"/>
        <v>1</v>
      </c>
      <c r="R29" s="370">
        <f t="shared" si="0"/>
        <v>0.7092198581560285</v>
      </c>
      <c r="S29" s="366">
        <f t="shared" si="1"/>
        <v>100</v>
      </c>
      <c r="T29" s="366">
        <v>4.97</v>
      </c>
      <c r="U29" s="370">
        <f t="shared" si="5"/>
        <v>99.4</v>
      </c>
      <c r="V29" s="366"/>
      <c r="W29" s="366"/>
      <c r="X29" s="366"/>
      <c r="Y29" s="366"/>
      <c r="Z29" s="366"/>
      <c r="AA29" s="366"/>
      <c r="AB29" s="366"/>
      <c r="AC29" s="366"/>
      <c r="AD29" s="366"/>
      <c r="AE29" s="366"/>
      <c r="AF29" s="366"/>
      <c r="AG29" s="366"/>
      <c r="AH29" s="366"/>
      <c r="AI29" s="366"/>
      <c r="AJ29" s="366"/>
      <c r="AK29" s="366"/>
      <c r="AL29" s="360"/>
      <c r="AM29" s="263" t="s">
        <v>822</v>
      </c>
      <c r="AN29" s="263"/>
      <c r="AO29" s="263"/>
      <c r="AP29" s="263"/>
      <c r="AQ29" s="263"/>
      <c r="AR29" s="263"/>
      <c r="AS29" s="263"/>
      <c r="AT29" s="263"/>
      <c r="AU29" s="263"/>
      <c r="AV29" s="263"/>
    </row>
    <row r="30" spans="1:48" s="350" customFormat="1" ht="39">
      <c r="A30" s="304" t="s">
        <v>248</v>
      </c>
      <c r="B30" s="304" t="s">
        <v>610</v>
      </c>
      <c r="C30" s="284" t="s">
        <v>794</v>
      </c>
      <c r="D30" s="284"/>
      <c r="E30" s="284"/>
      <c r="F30" s="284"/>
      <c r="G30" s="284"/>
      <c r="H30" s="284"/>
      <c r="I30" s="284"/>
      <c r="J30" s="366">
        <v>1</v>
      </c>
      <c r="K30" s="370">
        <f t="shared" si="6"/>
        <v>1.418439716312057</v>
      </c>
      <c r="L30" s="370">
        <v>20</v>
      </c>
      <c r="M30" s="370">
        <v>20</v>
      </c>
      <c r="N30" s="366">
        <f t="shared" si="2"/>
        <v>1</v>
      </c>
      <c r="O30" s="370">
        <f t="shared" si="3"/>
        <v>2.836879432624114</v>
      </c>
      <c r="P30" s="370">
        <f t="shared" si="4"/>
        <v>20</v>
      </c>
      <c r="Q30" s="366">
        <f t="shared" si="7"/>
        <v>1</v>
      </c>
      <c r="R30" s="370">
        <f t="shared" si="0"/>
        <v>2.836879432624114</v>
      </c>
      <c r="S30" s="366">
        <f t="shared" si="1"/>
        <v>100</v>
      </c>
      <c r="T30" s="366">
        <v>19.97</v>
      </c>
      <c r="U30" s="370">
        <f>IFERROR(T30/L30*100,0)</f>
        <v>99.85</v>
      </c>
      <c r="V30" s="366"/>
      <c r="W30" s="366"/>
      <c r="X30" s="366"/>
      <c r="Y30" s="366"/>
      <c r="Z30" s="366"/>
      <c r="AA30" s="366"/>
      <c r="AB30" s="366"/>
      <c r="AC30" s="366"/>
      <c r="AD30" s="366"/>
      <c r="AE30" s="366"/>
      <c r="AF30" s="366"/>
      <c r="AG30" s="366"/>
      <c r="AH30" s="366"/>
      <c r="AI30" s="366"/>
      <c r="AJ30" s="366"/>
      <c r="AK30" s="366"/>
      <c r="AL30" s="360"/>
      <c r="AM30" s="263" t="s">
        <v>822</v>
      </c>
      <c r="AN30" s="263"/>
      <c r="AO30" s="263"/>
      <c r="AP30" s="263"/>
      <c r="AQ30" s="263"/>
      <c r="AR30" s="263"/>
      <c r="AS30" s="263"/>
      <c r="AT30" s="263"/>
      <c r="AU30" s="263"/>
      <c r="AV30" s="263"/>
    </row>
    <row r="31" spans="1:48" s="306" customFormat="1" ht="39">
      <c r="A31" s="304" t="s">
        <v>250</v>
      </c>
      <c r="B31" s="304" t="s">
        <v>611</v>
      </c>
      <c r="C31" s="284" t="s">
        <v>794</v>
      </c>
      <c r="D31" s="284"/>
      <c r="E31" s="284"/>
      <c r="F31" s="284"/>
      <c r="G31" s="284"/>
      <c r="H31" s="284"/>
      <c r="I31" s="284"/>
      <c r="J31" s="366">
        <v>0</v>
      </c>
      <c r="K31" s="370">
        <f t="shared" si="6"/>
        <v>0</v>
      </c>
      <c r="L31" s="371">
        <v>0</v>
      </c>
      <c r="M31" s="371">
        <v>0</v>
      </c>
      <c r="N31" s="366">
        <f t="shared" si="2"/>
        <v>0</v>
      </c>
      <c r="O31" s="370">
        <f t="shared" si="3"/>
        <v>0</v>
      </c>
      <c r="P31" s="370">
        <f t="shared" si="4"/>
        <v>0</v>
      </c>
      <c r="Q31" s="366">
        <f t="shared" si="7"/>
        <v>0</v>
      </c>
      <c r="R31" s="370">
        <v>0</v>
      </c>
      <c r="S31" s="366">
        <v>0</v>
      </c>
      <c r="T31" s="366">
        <v>0</v>
      </c>
      <c r="U31" s="370">
        <f t="shared" si="5"/>
        <v>0</v>
      </c>
      <c r="V31" s="370">
        <v>5</v>
      </c>
      <c r="W31" s="372">
        <v>0.12</v>
      </c>
      <c r="X31" s="370">
        <v>1.5</v>
      </c>
      <c r="Y31" s="370">
        <v>5</v>
      </c>
      <c r="Z31" s="370"/>
      <c r="AA31" s="370">
        <f>W31/V31*Y31</f>
        <v>0.12</v>
      </c>
      <c r="AB31" s="370"/>
      <c r="AC31" s="370"/>
      <c r="AD31" s="370"/>
      <c r="AE31" s="370"/>
      <c r="AF31" s="370"/>
      <c r="AG31" s="370"/>
      <c r="AH31" s="370">
        <v>15</v>
      </c>
      <c r="AI31" s="370">
        <v>0.37</v>
      </c>
      <c r="AJ31" s="366"/>
      <c r="AK31" s="366"/>
      <c r="AL31" s="360"/>
      <c r="AM31" s="263" t="s">
        <v>822</v>
      </c>
      <c r="AN31" s="305"/>
      <c r="AO31" s="305"/>
      <c r="AP31" s="305"/>
      <c r="AQ31" s="305"/>
      <c r="AR31" s="305"/>
      <c r="AS31" s="305"/>
      <c r="AT31" s="305"/>
      <c r="AU31" s="305"/>
      <c r="AV31" s="305"/>
    </row>
    <row r="32" spans="1:48" s="306" customFormat="1" ht="40.5" hidden="1">
      <c r="A32" s="308" t="s">
        <v>216</v>
      </c>
      <c r="B32" s="363" t="s">
        <v>612</v>
      </c>
      <c r="C32" s="284" t="s">
        <v>794</v>
      </c>
      <c r="D32" s="284"/>
      <c r="E32" s="284"/>
      <c r="F32" s="284"/>
      <c r="G32" s="284"/>
      <c r="H32" s="284"/>
      <c r="I32" s="284"/>
      <c r="J32" s="366">
        <v>2</v>
      </c>
      <c r="K32" s="370">
        <f t="shared" si="6"/>
        <v>0.14184397163120571</v>
      </c>
      <c r="L32" s="371">
        <v>2</v>
      </c>
      <c r="M32" s="371">
        <v>1.7</v>
      </c>
      <c r="N32" s="366">
        <f t="shared" si="2"/>
        <v>2</v>
      </c>
      <c r="O32" s="370">
        <f t="shared" si="3"/>
        <v>0.24113475177304969</v>
      </c>
      <c r="P32" s="370">
        <f t="shared" si="4"/>
        <v>1.7</v>
      </c>
      <c r="Q32" s="366">
        <f t="shared" si="7"/>
        <v>2</v>
      </c>
      <c r="R32" s="370">
        <f t="shared" si="0"/>
        <v>0.24113475177304969</v>
      </c>
      <c r="S32" s="366">
        <f t="shared" ref="S32:S95" si="8">ROUND(IF(O32=0,R32/K32*100,R32/O32*100),2)</f>
        <v>100</v>
      </c>
      <c r="T32" s="366">
        <v>1.21</v>
      </c>
      <c r="U32" s="370">
        <f t="shared" si="5"/>
        <v>71.17647058823529</v>
      </c>
      <c r="V32" s="366">
        <v>0</v>
      </c>
      <c r="W32" s="372">
        <v>0</v>
      </c>
      <c r="X32" s="366">
        <v>0</v>
      </c>
      <c r="Y32" s="366">
        <v>6</v>
      </c>
      <c r="Z32" s="366"/>
      <c r="AA32" s="370">
        <f>K32/J32*Y32</f>
        <v>0.42553191489361714</v>
      </c>
      <c r="AB32" s="370"/>
      <c r="AC32" s="370"/>
      <c r="AD32" s="370"/>
      <c r="AE32" s="370"/>
      <c r="AF32" s="370"/>
      <c r="AG32" s="370"/>
      <c r="AH32" s="370">
        <f t="shared" ref="AH32:AH33" si="9">Y32+Q32</f>
        <v>8</v>
      </c>
      <c r="AI32" s="370">
        <v>1.48</v>
      </c>
      <c r="AJ32" s="366"/>
      <c r="AK32" s="366"/>
      <c r="AL32" s="360"/>
      <c r="AM32" s="305" t="s">
        <v>823</v>
      </c>
      <c r="AN32" s="305"/>
      <c r="AO32" s="305"/>
      <c r="AP32" s="305"/>
      <c r="AQ32" s="305"/>
      <c r="AR32" s="305"/>
      <c r="AS32" s="305"/>
      <c r="AT32" s="305"/>
      <c r="AU32" s="305"/>
      <c r="AV32" s="305"/>
    </row>
    <row r="33" spans="1:48" s="306" customFormat="1" ht="40.5" hidden="1">
      <c r="A33" s="308" t="s">
        <v>399</v>
      </c>
      <c r="B33" s="363" t="s">
        <v>613</v>
      </c>
      <c r="C33" s="284" t="s">
        <v>794</v>
      </c>
      <c r="D33" s="284"/>
      <c r="E33" s="284"/>
      <c r="F33" s="284"/>
      <c r="G33" s="284"/>
      <c r="H33" s="284"/>
      <c r="I33" s="284"/>
      <c r="J33" s="366">
        <v>1</v>
      </c>
      <c r="K33" s="370">
        <f t="shared" si="6"/>
        <v>0.35460992907801425</v>
      </c>
      <c r="L33" s="371">
        <v>5</v>
      </c>
      <c r="M33" s="371">
        <v>0</v>
      </c>
      <c r="N33" s="366">
        <f t="shared" si="2"/>
        <v>1</v>
      </c>
      <c r="O33" s="370">
        <f t="shared" si="3"/>
        <v>0</v>
      </c>
      <c r="P33" s="370">
        <f t="shared" si="4"/>
        <v>0</v>
      </c>
      <c r="Q33" s="366">
        <f t="shared" si="7"/>
        <v>1</v>
      </c>
      <c r="R33" s="370">
        <f t="shared" si="0"/>
        <v>0</v>
      </c>
      <c r="S33" s="366">
        <f t="shared" si="8"/>
        <v>0</v>
      </c>
      <c r="T33" s="366">
        <v>0</v>
      </c>
      <c r="U33" s="370">
        <f t="shared" si="5"/>
        <v>0</v>
      </c>
      <c r="V33" s="366">
        <v>1</v>
      </c>
      <c r="W33" s="372">
        <v>0.02</v>
      </c>
      <c r="X33" s="366">
        <v>0.2</v>
      </c>
      <c r="Y33" s="366">
        <v>0</v>
      </c>
      <c r="Z33" s="366"/>
      <c r="AA33" s="370">
        <f t="shared" ref="AA33:AA46" si="10">W33/V33*Y33</f>
        <v>0</v>
      </c>
      <c r="AB33" s="370"/>
      <c r="AC33" s="370"/>
      <c r="AD33" s="370"/>
      <c r="AE33" s="370"/>
      <c r="AF33" s="370"/>
      <c r="AG33" s="370"/>
      <c r="AH33" s="370">
        <f t="shared" si="9"/>
        <v>1</v>
      </c>
      <c r="AI33" s="370">
        <f>K33/J33*AH33</f>
        <v>0.35460992907801425</v>
      </c>
      <c r="AJ33" s="366"/>
      <c r="AK33" s="366"/>
      <c r="AL33" s="360"/>
      <c r="AM33" s="305"/>
      <c r="AN33" s="305"/>
      <c r="AO33" s="305"/>
      <c r="AP33" s="305"/>
      <c r="AQ33" s="305"/>
      <c r="AR33" s="305"/>
      <c r="AS33" s="305"/>
      <c r="AT33" s="305"/>
      <c r="AU33" s="305"/>
      <c r="AV33" s="305"/>
    </row>
    <row r="34" spans="1:48" s="306" customFormat="1" ht="40.5" hidden="1">
      <c r="A34" s="308" t="s">
        <v>401</v>
      </c>
      <c r="B34" s="363" t="s">
        <v>614</v>
      </c>
      <c r="C34" s="284" t="s">
        <v>796</v>
      </c>
      <c r="D34" s="284"/>
      <c r="E34" s="284"/>
      <c r="F34" s="284"/>
      <c r="G34" s="284"/>
      <c r="H34" s="284"/>
      <c r="I34" s="284"/>
      <c r="J34" s="366">
        <v>1</v>
      </c>
      <c r="K34" s="370">
        <f t="shared" si="6"/>
        <v>0.35460992907801425</v>
      </c>
      <c r="L34" s="371">
        <v>5</v>
      </c>
      <c r="M34" s="371"/>
      <c r="N34" s="366">
        <f t="shared" si="2"/>
        <v>1</v>
      </c>
      <c r="O34" s="370">
        <f t="shared" si="3"/>
        <v>0</v>
      </c>
      <c r="P34" s="370">
        <f t="shared" si="4"/>
        <v>0</v>
      </c>
      <c r="Q34" s="366">
        <f t="shared" si="7"/>
        <v>1</v>
      </c>
      <c r="R34" s="370">
        <f t="shared" si="0"/>
        <v>0</v>
      </c>
      <c r="S34" s="366">
        <f t="shared" si="8"/>
        <v>0</v>
      </c>
      <c r="T34" s="366">
        <v>0</v>
      </c>
      <c r="U34" s="370">
        <f t="shared" si="5"/>
        <v>0</v>
      </c>
      <c r="V34" s="366"/>
      <c r="W34" s="372"/>
      <c r="X34" s="366"/>
      <c r="Y34" s="366"/>
      <c r="Z34" s="366"/>
      <c r="AA34" s="366"/>
      <c r="AB34" s="366"/>
      <c r="AC34" s="366"/>
      <c r="AD34" s="366"/>
      <c r="AE34" s="366"/>
      <c r="AF34" s="366"/>
      <c r="AG34" s="366"/>
      <c r="AH34" s="366"/>
      <c r="AI34" s="366"/>
      <c r="AJ34" s="366"/>
      <c r="AK34" s="366"/>
      <c r="AL34" s="360"/>
      <c r="AM34" s="305" t="s">
        <v>823</v>
      </c>
      <c r="AN34" s="305"/>
      <c r="AO34" s="305"/>
      <c r="AP34" s="305"/>
      <c r="AQ34" s="305"/>
      <c r="AR34" s="305"/>
      <c r="AS34" s="305"/>
      <c r="AT34" s="305"/>
      <c r="AU34" s="305"/>
      <c r="AV34" s="305"/>
    </row>
    <row r="35" spans="1:48" s="306" customFormat="1" ht="39" hidden="1">
      <c r="A35" s="308" t="s">
        <v>404</v>
      </c>
      <c r="B35" s="297" t="s">
        <v>615</v>
      </c>
      <c r="C35" s="352" t="s">
        <v>794</v>
      </c>
      <c r="D35" s="284"/>
      <c r="E35" s="284"/>
      <c r="F35" s="284"/>
      <c r="G35" s="284"/>
      <c r="H35" s="284"/>
      <c r="I35" s="284"/>
      <c r="J35" s="366">
        <v>1</v>
      </c>
      <c r="K35" s="370">
        <f t="shared" si="6"/>
        <v>3.5460992907801421</v>
      </c>
      <c r="L35" s="371">
        <v>50</v>
      </c>
      <c r="M35" s="371"/>
      <c r="N35" s="366">
        <f t="shared" si="2"/>
        <v>1</v>
      </c>
      <c r="O35" s="370">
        <f t="shared" si="3"/>
        <v>0</v>
      </c>
      <c r="P35" s="370">
        <f t="shared" si="4"/>
        <v>0</v>
      </c>
      <c r="Q35" s="366">
        <f t="shared" si="7"/>
        <v>1</v>
      </c>
      <c r="R35" s="370">
        <f t="shared" si="0"/>
        <v>0</v>
      </c>
      <c r="S35" s="366">
        <f t="shared" si="8"/>
        <v>0</v>
      </c>
      <c r="T35" s="366">
        <v>0</v>
      </c>
      <c r="U35" s="370">
        <f t="shared" si="5"/>
        <v>0</v>
      </c>
      <c r="V35" s="366">
        <v>1</v>
      </c>
      <c r="W35" s="366">
        <v>8.23</v>
      </c>
      <c r="X35" s="366">
        <v>100</v>
      </c>
      <c r="Y35" s="366">
        <v>0</v>
      </c>
      <c r="Z35" s="366"/>
      <c r="AA35" s="366">
        <v>0</v>
      </c>
      <c r="AB35" s="366"/>
      <c r="AC35" s="366"/>
      <c r="AD35" s="366"/>
      <c r="AE35" s="366"/>
      <c r="AF35" s="366"/>
      <c r="AG35" s="366"/>
      <c r="AH35" s="366">
        <v>0</v>
      </c>
      <c r="AI35" s="366">
        <v>0</v>
      </c>
      <c r="AJ35" s="366"/>
      <c r="AK35" s="366"/>
      <c r="AL35" s="360"/>
      <c r="AM35" s="305"/>
      <c r="AN35" s="305"/>
      <c r="AO35" s="305"/>
      <c r="AP35" s="305"/>
      <c r="AQ35" s="305"/>
      <c r="AR35" s="305"/>
      <c r="AS35" s="305"/>
      <c r="AT35" s="305"/>
      <c r="AU35" s="305"/>
      <c r="AV35" s="305"/>
    </row>
    <row r="36" spans="1:48" s="306" customFormat="1" ht="39" hidden="1">
      <c r="A36" s="308" t="s">
        <v>406</v>
      </c>
      <c r="B36" s="304" t="s">
        <v>540</v>
      </c>
      <c r="C36" s="283" t="s">
        <v>797</v>
      </c>
      <c r="D36" s="284"/>
      <c r="E36" s="284"/>
      <c r="F36" s="284"/>
      <c r="G36" s="284"/>
      <c r="H36" s="284"/>
      <c r="I36" s="284"/>
      <c r="J36" s="366">
        <v>1</v>
      </c>
      <c r="K36" s="370">
        <f t="shared" si="6"/>
        <v>3.5460992907801421</v>
      </c>
      <c r="L36" s="371">
        <v>50</v>
      </c>
      <c r="M36" s="371">
        <v>50</v>
      </c>
      <c r="N36" s="366">
        <f t="shared" si="2"/>
        <v>1</v>
      </c>
      <c r="O36" s="370">
        <f t="shared" si="3"/>
        <v>7.0921985815602842</v>
      </c>
      <c r="P36" s="370">
        <f t="shared" si="4"/>
        <v>50</v>
      </c>
      <c r="Q36" s="366">
        <f t="shared" si="7"/>
        <v>1</v>
      </c>
      <c r="R36" s="370">
        <f t="shared" si="0"/>
        <v>7.0921985815602842</v>
      </c>
      <c r="S36" s="366">
        <f t="shared" si="8"/>
        <v>100</v>
      </c>
      <c r="T36" s="366">
        <v>49.28</v>
      </c>
      <c r="U36" s="370">
        <f t="shared" si="5"/>
        <v>98.56</v>
      </c>
      <c r="V36" s="366">
        <v>0</v>
      </c>
      <c r="W36" s="366">
        <v>0</v>
      </c>
      <c r="X36" s="366">
        <v>0</v>
      </c>
      <c r="Y36" s="366">
        <v>0</v>
      </c>
      <c r="Z36" s="366"/>
      <c r="AA36" s="366">
        <v>0</v>
      </c>
      <c r="AB36" s="366"/>
      <c r="AC36" s="366"/>
      <c r="AD36" s="366"/>
      <c r="AE36" s="366"/>
      <c r="AF36" s="366"/>
      <c r="AG36" s="366"/>
      <c r="AH36" s="366">
        <v>0</v>
      </c>
      <c r="AI36" s="366">
        <v>0</v>
      </c>
      <c r="AJ36" s="366"/>
      <c r="AK36" s="366"/>
      <c r="AL36" s="360"/>
      <c r="AM36" s="305" t="s">
        <v>823</v>
      </c>
      <c r="AN36" s="305"/>
      <c r="AO36" s="305"/>
      <c r="AP36" s="305"/>
      <c r="AQ36" s="305"/>
      <c r="AR36" s="305"/>
      <c r="AS36" s="305"/>
      <c r="AT36" s="305"/>
      <c r="AU36" s="305"/>
      <c r="AV36" s="305"/>
    </row>
    <row r="37" spans="1:48" s="306" customFormat="1" ht="39" hidden="1">
      <c r="A37" s="308" t="s">
        <v>407</v>
      </c>
      <c r="B37" s="297" t="s">
        <v>616</v>
      </c>
      <c r="C37" s="352" t="s">
        <v>794</v>
      </c>
      <c r="D37" s="284"/>
      <c r="E37" s="284"/>
      <c r="F37" s="284"/>
      <c r="G37" s="284"/>
      <c r="H37" s="284"/>
      <c r="I37" s="284"/>
      <c r="J37" s="366">
        <v>1</v>
      </c>
      <c r="K37" s="370">
        <f t="shared" si="6"/>
        <v>0.35460992907801425</v>
      </c>
      <c r="L37" s="371">
        <v>5</v>
      </c>
      <c r="M37" s="371"/>
      <c r="N37" s="366">
        <f t="shared" si="2"/>
        <v>1</v>
      </c>
      <c r="O37" s="370">
        <f t="shared" si="3"/>
        <v>0</v>
      </c>
      <c r="P37" s="370">
        <f t="shared" si="4"/>
        <v>0</v>
      </c>
      <c r="Q37" s="366">
        <f t="shared" si="7"/>
        <v>1</v>
      </c>
      <c r="R37" s="370">
        <f t="shared" si="0"/>
        <v>0</v>
      </c>
      <c r="S37" s="366">
        <f t="shared" si="8"/>
        <v>0</v>
      </c>
      <c r="T37" s="366">
        <v>0</v>
      </c>
      <c r="U37" s="370">
        <f t="shared" si="5"/>
        <v>0</v>
      </c>
      <c r="V37" s="370">
        <v>0.2</v>
      </c>
      <c r="W37" s="372">
        <v>1.65</v>
      </c>
      <c r="X37" s="370">
        <v>20</v>
      </c>
      <c r="Y37" s="370">
        <f>V37</f>
        <v>0.2</v>
      </c>
      <c r="Z37" s="370"/>
      <c r="AA37" s="370">
        <v>1.65</v>
      </c>
      <c r="AB37" s="370"/>
      <c r="AC37" s="370"/>
      <c r="AD37" s="370"/>
      <c r="AE37" s="370"/>
      <c r="AF37" s="370"/>
      <c r="AG37" s="370"/>
      <c r="AH37" s="370">
        <v>1</v>
      </c>
      <c r="AI37" s="370">
        <f>K37/J37*AH37</f>
        <v>0.35460992907801425</v>
      </c>
      <c r="AJ37" s="366"/>
      <c r="AK37" s="366"/>
      <c r="AL37" s="360"/>
      <c r="AM37" s="305"/>
      <c r="AN37" s="305"/>
      <c r="AO37" s="305"/>
      <c r="AP37" s="305"/>
      <c r="AQ37" s="305"/>
      <c r="AR37" s="305"/>
      <c r="AS37" s="305"/>
      <c r="AT37" s="305"/>
      <c r="AU37" s="305"/>
      <c r="AV37" s="305"/>
    </row>
    <row r="38" spans="1:48" s="306" customFormat="1" ht="39" hidden="1">
      <c r="A38" s="308" t="s">
        <v>409</v>
      </c>
      <c r="B38" s="304" t="s">
        <v>540</v>
      </c>
      <c r="C38" s="341" t="s">
        <v>797</v>
      </c>
      <c r="D38" s="284"/>
      <c r="E38" s="284"/>
      <c r="F38" s="284"/>
      <c r="G38" s="284"/>
      <c r="H38" s="284"/>
      <c r="I38" s="284"/>
      <c r="J38" s="366">
        <v>1</v>
      </c>
      <c r="K38" s="370">
        <f t="shared" si="6"/>
        <v>0.35460992907801425</v>
      </c>
      <c r="L38" s="371">
        <v>5</v>
      </c>
      <c r="M38" s="371">
        <v>5</v>
      </c>
      <c r="N38" s="366">
        <f t="shared" si="2"/>
        <v>1</v>
      </c>
      <c r="O38" s="370">
        <f t="shared" si="3"/>
        <v>0.7092198581560285</v>
      </c>
      <c r="P38" s="370">
        <f t="shared" si="4"/>
        <v>5</v>
      </c>
      <c r="Q38" s="366">
        <f t="shared" si="7"/>
        <v>1</v>
      </c>
      <c r="R38" s="370">
        <f t="shared" si="0"/>
        <v>0.7092198581560285</v>
      </c>
      <c r="S38" s="366">
        <f t="shared" si="8"/>
        <v>100</v>
      </c>
      <c r="T38" s="366">
        <v>5</v>
      </c>
      <c r="U38" s="370">
        <f t="shared" si="5"/>
        <v>100</v>
      </c>
      <c r="V38" s="370"/>
      <c r="W38" s="372"/>
      <c r="X38" s="370"/>
      <c r="Y38" s="370"/>
      <c r="Z38" s="370"/>
      <c r="AA38" s="370"/>
      <c r="AB38" s="370"/>
      <c r="AC38" s="370"/>
      <c r="AD38" s="370"/>
      <c r="AE38" s="370"/>
      <c r="AF38" s="370"/>
      <c r="AG38" s="370"/>
      <c r="AH38" s="370"/>
      <c r="AI38" s="370"/>
      <c r="AJ38" s="366"/>
      <c r="AK38" s="366"/>
      <c r="AL38" s="360"/>
      <c r="AM38" s="305" t="s">
        <v>823</v>
      </c>
      <c r="AN38" s="305"/>
      <c r="AO38" s="305"/>
      <c r="AP38" s="305"/>
      <c r="AQ38" s="305"/>
      <c r="AR38" s="305"/>
      <c r="AS38" s="305"/>
      <c r="AT38" s="305"/>
      <c r="AU38" s="305"/>
      <c r="AV38" s="305"/>
    </row>
    <row r="39" spans="1:48" s="306" customFormat="1" ht="40.5" hidden="1">
      <c r="A39" s="308" t="s">
        <v>414</v>
      </c>
      <c r="B39" s="363" t="s">
        <v>617</v>
      </c>
      <c r="C39" s="352" t="s">
        <v>794</v>
      </c>
      <c r="D39" s="284"/>
      <c r="E39" s="284"/>
      <c r="F39" s="284"/>
      <c r="G39" s="284"/>
      <c r="H39" s="284"/>
      <c r="I39" s="284"/>
      <c r="J39" s="366">
        <v>1</v>
      </c>
      <c r="K39" s="370">
        <f t="shared" si="6"/>
        <v>0.42553191489361714</v>
      </c>
      <c r="L39" s="371">
        <v>6</v>
      </c>
      <c r="M39" s="371"/>
      <c r="N39" s="366">
        <f t="shared" si="2"/>
        <v>1</v>
      </c>
      <c r="O39" s="370">
        <f t="shared" si="3"/>
        <v>0</v>
      </c>
      <c r="P39" s="370">
        <f t="shared" si="4"/>
        <v>0</v>
      </c>
      <c r="Q39" s="366">
        <f t="shared" si="7"/>
        <v>1</v>
      </c>
      <c r="R39" s="370">
        <f t="shared" si="0"/>
        <v>0</v>
      </c>
      <c r="S39" s="366">
        <f t="shared" si="8"/>
        <v>0</v>
      </c>
      <c r="T39" s="366">
        <v>0</v>
      </c>
      <c r="U39" s="370">
        <f t="shared" si="5"/>
        <v>0</v>
      </c>
      <c r="V39" s="370"/>
      <c r="W39" s="372"/>
      <c r="X39" s="370"/>
      <c r="Y39" s="370"/>
      <c r="Z39" s="370"/>
      <c r="AA39" s="370"/>
      <c r="AB39" s="370"/>
      <c r="AC39" s="370"/>
      <c r="AD39" s="370"/>
      <c r="AE39" s="370"/>
      <c r="AF39" s="370"/>
      <c r="AG39" s="370"/>
      <c r="AH39" s="370"/>
      <c r="AI39" s="370"/>
      <c r="AJ39" s="366"/>
      <c r="AK39" s="366"/>
      <c r="AL39" s="360"/>
      <c r="AN39" s="305"/>
      <c r="AO39" s="305"/>
      <c r="AP39" s="305"/>
      <c r="AQ39" s="305"/>
      <c r="AR39" s="305"/>
      <c r="AS39" s="305"/>
      <c r="AT39" s="305"/>
      <c r="AU39" s="305"/>
      <c r="AV39" s="305"/>
    </row>
    <row r="40" spans="1:48" s="306" customFormat="1" ht="39" hidden="1">
      <c r="A40" s="308" t="s">
        <v>416</v>
      </c>
      <c r="B40" s="304" t="s">
        <v>540</v>
      </c>
      <c r="C40" s="341" t="s">
        <v>797</v>
      </c>
      <c r="D40" s="284"/>
      <c r="E40" s="284"/>
      <c r="F40" s="284"/>
      <c r="G40" s="284"/>
      <c r="H40" s="284"/>
      <c r="I40" s="284"/>
      <c r="J40" s="366">
        <v>1</v>
      </c>
      <c r="K40" s="370">
        <f t="shared" si="6"/>
        <v>0.42553191489361714</v>
      </c>
      <c r="L40" s="371">
        <v>6</v>
      </c>
      <c r="M40" s="371">
        <v>0</v>
      </c>
      <c r="N40" s="366">
        <f t="shared" si="2"/>
        <v>1</v>
      </c>
      <c r="O40" s="370">
        <f t="shared" si="3"/>
        <v>0</v>
      </c>
      <c r="P40" s="370">
        <f t="shared" si="4"/>
        <v>0</v>
      </c>
      <c r="Q40" s="366">
        <f t="shared" si="7"/>
        <v>1</v>
      </c>
      <c r="R40" s="370">
        <f t="shared" si="0"/>
        <v>0</v>
      </c>
      <c r="S40" s="366">
        <f t="shared" si="8"/>
        <v>0</v>
      </c>
      <c r="T40" s="366">
        <v>0</v>
      </c>
      <c r="U40" s="370">
        <f t="shared" si="5"/>
        <v>0</v>
      </c>
      <c r="V40" s="370"/>
      <c r="W40" s="372"/>
      <c r="X40" s="370"/>
      <c r="Y40" s="370"/>
      <c r="Z40" s="370"/>
      <c r="AA40" s="370"/>
      <c r="AB40" s="370"/>
      <c r="AC40" s="370"/>
      <c r="AD40" s="370"/>
      <c r="AE40" s="370"/>
      <c r="AF40" s="370"/>
      <c r="AG40" s="370"/>
      <c r="AH40" s="370"/>
      <c r="AI40" s="370"/>
      <c r="AJ40" s="366"/>
      <c r="AK40" s="366"/>
      <c r="AL40" s="360"/>
      <c r="AM40" s="305" t="s">
        <v>820</v>
      </c>
      <c r="AN40" s="305"/>
      <c r="AO40" s="305"/>
      <c r="AP40" s="305"/>
      <c r="AQ40" s="305"/>
      <c r="AR40" s="305"/>
      <c r="AS40" s="305"/>
      <c r="AT40" s="305"/>
      <c r="AU40" s="305"/>
      <c r="AV40" s="305"/>
    </row>
    <row r="41" spans="1:48" s="306" customFormat="1" ht="40.5" hidden="1">
      <c r="A41" s="308" t="s">
        <v>417</v>
      </c>
      <c r="B41" s="363" t="s">
        <v>618</v>
      </c>
      <c r="C41" s="352" t="s">
        <v>794</v>
      </c>
      <c r="D41" s="284"/>
      <c r="E41" s="284"/>
      <c r="F41" s="284"/>
      <c r="G41" s="284"/>
      <c r="H41" s="284"/>
      <c r="I41" s="284"/>
      <c r="J41" s="366">
        <v>1</v>
      </c>
      <c r="K41" s="370">
        <f t="shared" si="6"/>
        <v>0.85106382978723427</v>
      </c>
      <c r="L41" s="371">
        <v>12</v>
      </c>
      <c r="M41" s="371"/>
      <c r="N41" s="366">
        <f t="shared" si="2"/>
        <v>1</v>
      </c>
      <c r="O41" s="370">
        <f t="shared" si="3"/>
        <v>0</v>
      </c>
      <c r="P41" s="370">
        <f t="shared" si="4"/>
        <v>0</v>
      </c>
      <c r="Q41" s="366">
        <f t="shared" si="7"/>
        <v>1</v>
      </c>
      <c r="R41" s="370">
        <f t="shared" si="0"/>
        <v>0</v>
      </c>
      <c r="S41" s="366">
        <f t="shared" si="8"/>
        <v>0</v>
      </c>
      <c r="T41" s="366">
        <v>0</v>
      </c>
      <c r="U41" s="370">
        <f t="shared" si="5"/>
        <v>0</v>
      </c>
      <c r="V41" s="370"/>
      <c r="W41" s="372"/>
      <c r="X41" s="370"/>
      <c r="Y41" s="370"/>
      <c r="Z41" s="370"/>
      <c r="AA41" s="370"/>
      <c r="AB41" s="370"/>
      <c r="AC41" s="370"/>
      <c r="AD41" s="370"/>
      <c r="AE41" s="370"/>
      <c r="AF41" s="370"/>
      <c r="AG41" s="370"/>
      <c r="AH41" s="370"/>
      <c r="AI41" s="370"/>
      <c r="AJ41" s="366"/>
      <c r="AK41" s="366"/>
      <c r="AL41" s="360"/>
      <c r="AM41" s="305"/>
      <c r="AN41" s="305"/>
      <c r="AO41" s="305"/>
      <c r="AP41" s="305"/>
      <c r="AQ41" s="305"/>
      <c r="AR41" s="305"/>
      <c r="AS41" s="305"/>
      <c r="AT41" s="305"/>
      <c r="AU41" s="305"/>
      <c r="AV41" s="305"/>
    </row>
    <row r="42" spans="1:48" s="306" customFormat="1" ht="39" hidden="1">
      <c r="A42" s="308" t="s">
        <v>419</v>
      </c>
      <c r="B42" s="304" t="s">
        <v>540</v>
      </c>
      <c r="C42" s="341" t="s">
        <v>797</v>
      </c>
      <c r="D42" s="284"/>
      <c r="E42" s="284"/>
      <c r="F42" s="284"/>
      <c r="G42" s="284"/>
      <c r="H42" s="284"/>
      <c r="I42" s="284"/>
      <c r="J42" s="366">
        <v>1</v>
      </c>
      <c r="K42" s="370">
        <f t="shared" si="6"/>
        <v>0.85106382978723427</v>
      </c>
      <c r="L42" s="371">
        <v>12</v>
      </c>
      <c r="M42" s="371">
        <v>8.51</v>
      </c>
      <c r="N42" s="366">
        <f t="shared" si="2"/>
        <v>1</v>
      </c>
      <c r="O42" s="370">
        <f t="shared" si="3"/>
        <v>1.2070921985815604</v>
      </c>
      <c r="P42" s="370">
        <f t="shared" si="4"/>
        <v>8.51</v>
      </c>
      <c r="Q42" s="366">
        <f t="shared" si="7"/>
        <v>1</v>
      </c>
      <c r="R42" s="370">
        <f t="shared" si="0"/>
        <v>1.2070921985815604</v>
      </c>
      <c r="S42" s="366">
        <f t="shared" si="8"/>
        <v>100</v>
      </c>
      <c r="T42" s="366">
        <v>7.49</v>
      </c>
      <c r="U42" s="370">
        <f t="shared" si="5"/>
        <v>88.014101057579325</v>
      </c>
      <c r="V42" s="370"/>
      <c r="W42" s="372"/>
      <c r="X42" s="370"/>
      <c r="Y42" s="370"/>
      <c r="Z42" s="370"/>
      <c r="AA42" s="370"/>
      <c r="AB42" s="370"/>
      <c r="AC42" s="370"/>
      <c r="AD42" s="370"/>
      <c r="AE42" s="370"/>
      <c r="AF42" s="370"/>
      <c r="AG42" s="370"/>
      <c r="AH42" s="370"/>
      <c r="AI42" s="370"/>
      <c r="AJ42" s="366"/>
      <c r="AK42" s="366"/>
      <c r="AL42" s="360"/>
      <c r="AM42" s="305" t="s">
        <v>823</v>
      </c>
      <c r="AN42" s="305"/>
      <c r="AO42" s="305"/>
      <c r="AP42" s="305"/>
      <c r="AQ42" s="305"/>
      <c r="AR42" s="305"/>
      <c r="AS42" s="305"/>
      <c r="AT42" s="305"/>
      <c r="AU42" s="305"/>
      <c r="AV42" s="305"/>
    </row>
    <row r="43" spans="1:48" s="306" customFormat="1" ht="40.5" hidden="1">
      <c r="A43" s="308" t="s">
        <v>420</v>
      </c>
      <c r="B43" s="363" t="s">
        <v>619</v>
      </c>
      <c r="C43" s="283" t="s">
        <v>794</v>
      </c>
      <c r="D43" s="284"/>
      <c r="E43" s="284"/>
      <c r="F43" s="284"/>
      <c r="G43" s="284"/>
      <c r="H43" s="284"/>
      <c r="I43" s="284"/>
      <c r="J43" s="366">
        <v>1</v>
      </c>
      <c r="K43" s="370">
        <f t="shared" si="6"/>
        <v>0.42553191489361714</v>
      </c>
      <c r="L43" s="371">
        <v>6</v>
      </c>
      <c r="M43" s="371"/>
      <c r="N43" s="366">
        <f t="shared" si="2"/>
        <v>1</v>
      </c>
      <c r="O43" s="370">
        <f t="shared" si="3"/>
        <v>0</v>
      </c>
      <c r="P43" s="370">
        <f t="shared" si="4"/>
        <v>0</v>
      </c>
      <c r="Q43" s="366">
        <f t="shared" si="7"/>
        <v>1</v>
      </c>
      <c r="R43" s="370">
        <f t="shared" si="0"/>
        <v>0</v>
      </c>
      <c r="S43" s="366">
        <f t="shared" si="8"/>
        <v>0</v>
      </c>
      <c r="T43" s="366">
        <v>0</v>
      </c>
      <c r="U43" s="370">
        <f t="shared" si="5"/>
        <v>0</v>
      </c>
      <c r="V43" s="370"/>
      <c r="W43" s="372"/>
      <c r="X43" s="370"/>
      <c r="Y43" s="370"/>
      <c r="Z43" s="370"/>
      <c r="AA43" s="370"/>
      <c r="AB43" s="370"/>
      <c r="AC43" s="370"/>
      <c r="AD43" s="370"/>
      <c r="AE43" s="370"/>
      <c r="AF43" s="370"/>
      <c r="AG43" s="370"/>
      <c r="AH43" s="370"/>
      <c r="AI43" s="370"/>
      <c r="AJ43" s="366"/>
      <c r="AK43" s="366"/>
      <c r="AL43" s="360"/>
      <c r="AM43" s="305"/>
      <c r="AN43" s="305"/>
      <c r="AO43" s="305"/>
      <c r="AP43" s="305"/>
      <c r="AQ43" s="305"/>
      <c r="AR43" s="305"/>
      <c r="AS43" s="305"/>
      <c r="AT43" s="305"/>
      <c r="AU43" s="305"/>
      <c r="AV43" s="305"/>
    </row>
    <row r="44" spans="1:48" s="306" customFormat="1" ht="39" hidden="1">
      <c r="A44" s="308" t="s">
        <v>422</v>
      </c>
      <c r="B44" s="304" t="s">
        <v>540</v>
      </c>
      <c r="C44" s="283" t="s">
        <v>797</v>
      </c>
      <c r="D44" s="284"/>
      <c r="E44" s="284"/>
      <c r="F44" s="284"/>
      <c r="G44" s="284"/>
      <c r="H44" s="284"/>
      <c r="I44" s="284"/>
      <c r="J44" s="366">
        <v>1</v>
      </c>
      <c r="K44" s="370">
        <f t="shared" si="6"/>
        <v>0.42553191489361714</v>
      </c>
      <c r="L44" s="371">
        <v>6</v>
      </c>
      <c r="M44" s="371">
        <v>0</v>
      </c>
      <c r="N44" s="366">
        <f t="shared" si="2"/>
        <v>1</v>
      </c>
      <c r="O44" s="370">
        <f t="shared" si="3"/>
        <v>0</v>
      </c>
      <c r="P44" s="370">
        <f t="shared" si="4"/>
        <v>0</v>
      </c>
      <c r="Q44" s="366">
        <f t="shared" si="7"/>
        <v>1</v>
      </c>
      <c r="R44" s="370">
        <f t="shared" si="0"/>
        <v>0</v>
      </c>
      <c r="S44" s="366">
        <f t="shared" si="8"/>
        <v>0</v>
      </c>
      <c r="T44" s="366">
        <v>0</v>
      </c>
      <c r="U44" s="370">
        <f t="shared" si="5"/>
        <v>0</v>
      </c>
      <c r="V44" s="370"/>
      <c r="W44" s="372"/>
      <c r="X44" s="370"/>
      <c r="Y44" s="370"/>
      <c r="Z44" s="370"/>
      <c r="AA44" s="370"/>
      <c r="AB44" s="370"/>
      <c r="AC44" s="370"/>
      <c r="AD44" s="370"/>
      <c r="AE44" s="370"/>
      <c r="AF44" s="370"/>
      <c r="AG44" s="370"/>
      <c r="AH44" s="370"/>
      <c r="AI44" s="370"/>
      <c r="AJ44" s="366"/>
      <c r="AK44" s="366"/>
      <c r="AL44" s="360"/>
      <c r="AM44" s="305" t="s">
        <v>823</v>
      </c>
      <c r="AN44" s="305"/>
      <c r="AO44" s="305"/>
      <c r="AP44" s="305"/>
      <c r="AQ44" s="305"/>
      <c r="AR44" s="305"/>
      <c r="AS44" s="305"/>
      <c r="AT44" s="305"/>
      <c r="AU44" s="305"/>
      <c r="AV44" s="305"/>
    </row>
    <row r="45" spans="1:48" s="306" customFormat="1" ht="40.5" hidden="1">
      <c r="A45" s="308" t="s">
        <v>423</v>
      </c>
      <c r="B45" s="363" t="s">
        <v>620</v>
      </c>
      <c r="C45" s="283" t="s">
        <v>794</v>
      </c>
      <c r="D45" s="284"/>
      <c r="E45" s="284"/>
      <c r="F45" s="284"/>
      <c r="G45" s="284"/>
      <c r="H45" s="284"/>
      <c r="I45" s="284"/>
      <c r="J45" s="366">
        <v>1</v>
      </c>
      <c r="K45" s="370">
        <f t="shared" si="6"/>
        <v>0.42553191489361714</v>
      </c>
      <c r="L45" s="371">
        <v>6</v>
      </c>
      <c r="M45" s="371"/>
      <c r="N45" s="366">
        <f t="shared" si="2"/>
        <v>1</v>
      </c>
      <c r="O45" s="370">
        <f t="shared" si="3"/>
        <v>0</v>
      </c>
      <c r="P45" s="370">
        <f t="shared" si="4"/>
        <v>0</v>
      </c>
      <c r="Q45" s="366">
        <f t="shared" si="7"/>
        <v>1</v>
      </c>
      <c r="R45" s="370">
        <f t="shared" si="0"/>
        <v>0</v>
      </c>
      <c r="S45" s="366">
        <f t="shared" si="8"/>
        <v>0</v>
      </c>
      <c r="T45" s="366">
        <v>0</v>
      </c>
      <c r="U45" s="370">
        <f t="shared" si="5"/>
        <v>0</v>
      </c>
      <c r="V45" s="370">
        <v>0.34</v>
      </c>
      <c r="W45" s="372">
        <v>0.82</v>
      </c>
      <c r="X45" s="370">
        <v>10</v>
      </c>
      <c r="Y45" s="370">
        <f t="shared" ref="Y45:Y46" si="11">V45</f>
        <v>0.34</v>
      </c>
      <c r="Z45" s="370"/>
      <c r="AA45" s="370">
        <v>0.34</v>
      </c>
      <c r="AB45" s="370"/>
      <c r="AC45" s="370"/>
      <c r="AD45" s="370"/>
      <c r="AE45" s="370"/>
      <c r="AF45" s="370"/>
      <c r="AG45" s="370"/>
      <c r="AH45" s="370">
        <v>1</v>
      </c>
      <c r="AI45" s="370">
        <f>K45/J45*AH45</f>
        <v>0.42553191489361714</v>
      </c>
      <c r="AJ45" s="366"/>
      <c r="AK45" s="366"/>
      <c r="AL45" s="360"/>
      <c r="AM45" s="305"/>
      <c r="AN45" s="305"/>
      <c r="AO45" s="305"/>
      <c r="AP45" s="305"/>
      <c r="AQ45" s="305"/>
      <c r="AR45" s="305"/>
      <c r="AS45" s="305"/>
      <c r="AT45" s="305"/>
      <c r="AU45" s="305"/>
      <c r="AV45" s="305"/>
    </row>
    <row r="46" spans="1:48" s="306" customFormat="1" ht="39" hidden="1">
      <c r="A46" s="308" t="s">
        <v>425</v>
      </c>
      <c r="B46" s="304" t="s">
        <v>540</v>
      </c>
      <c r="C46" s="283" t="s">
        <v>797</v>
      </c>
      <c r="D46" s="284"/>
      <c r="E46" s="284"/>
      <c r="F46" s="284"/>
      <c r="G46" s="284"/>
      <c r="H46" s="284"/>
      <c r="I46" s="284"/>
      <c r="J46" s="366">
        <v>1</v>
      </c>
      <c r="K46" s="370">
        <f t="shared" si="6"/>
        <v>0.42553191489361714</v>
      </c>
      <c r="L46" s="371">
        <v>6</v>
      </c>
      <c r="M46" s="371">
        <v>0</v>
      </c>
      <c r="N46" s="366">
        <f t="shared" si="2"/>
        <v>1</v>
      </c>
      <c r="O46" s="370">
        <f t="shared" si="3"/>
        <v>0</v>
      </c>
      <c r="P46" s="370">
        <f t="shared" si="4"/>
        <v>0</v>
      </c>
      <c r="Q46" s="366">
        <f t="shared" si="7"/>
        <v>1</v>
      </c>
      <c r="R46" s="370">
        <f t="shared" si="0"/>
        <v>0</v>
      </c>
      <c r="S46" s="366">
        <f t="shared" si="8"/>
        <v>0</v>
      </c>
      <c r="T46" s="366">
        <v>0</v>
      </c>
      <c r="U46" s="370">
        <f t="shared" si="5"/>
        <v>0</v>
      </c>
      <c r="V46" s="370">
        <v>0.34</v>
      </c>
      <c r="W46" s="372">
        <v>0.28000000000000003</v>
      </c>
      <c r="X46" s="370">
        <v>3.4</v>
      </c>
      <c r="Y46" s="370">
        <f t="shared" si="11"/>
        <v>0.34</v>
      </c>
      <c r="Z46" s="370"/>
      <c r="AA46" s="370">
        <f t="shared" si="10"/>
        <v>0.28000000000000003</v>
      </c>
      <c r="AB46" s="370"/>
      <c r="AC46" s="370"/>
      <c r="AD46" s="370"/>
      <c r="AE46" s="370"/>
      <c r="AF46" s="370"/>
      <c r="AG46" s="370"/>
      <c r="AH46" s="370">
        <v>1</v>
      </c>
      <c r="AI46" s="370">
        <f>K46/J46*AH46</f>
        <v>0.42553191489361714</v>
      </c>
      <c r="AJ46" s="366"/>
      <c r="AK46" s="366"/>
      <c r="AL46" s="360"/>
      <c r="AM46" s="305" t="s">
        <v>823</v>
      </c>
      <c r="AN46" s="305"/>
      <c r="AO46" s="305"/>
      <c r="AP46" s="305"/>
      <c r="AQ46" s="305"/>
      <c r="AR46" s="305"/>
      <c r="AS46" s="305"/>
      <c r="AT46" s="305"/>
      <c r="AU46" s="305"/>
      <c r="AV46" s="305"/>
    </row>
    <row r="47" spans="1:48" s="306" customFormat="1" ht="39" hidden="1">
      <c r="A47" s="308" t="s">
        <v>426</v>
      </c>
      <c r="B47" s="304" t="s">
        <v>621</v>
      </c>
      <c r="C47" s="283" t="s">
        <v>794</v>
      </c>
      <c r="D47" s="284"/>
      <c r="E47" s="284"/>
      <c r="F47" s="284"/>
      <c r="G47" s="284"/>
      <c r="H47" s="284"/>
      <c r="I47" s="284"/>
      <c r="J47" s="366">
        <v>1</v>
      </c>
      <c r="K47" s="370">
        <f t="shared" si="6"/>
        <v>0.85106382978723427</v>
      </c>
      <c r="L47" s="371">
        <v>12</v>
      </c>
      <c r="M47" s="371"/>
      <c r="N47" s="366">
        <f t="shared" si="2"/>
        <v>1</v>
      </c>
      <c r="O47" s="370">
        <f t="shared" si="3"/>
        <v>0</v>
      </c>
      <c r="P47" s="370">
        <f t="shared" si="4"/>
        <v>0</v>
      </c>
      <c r="Q47" s="366">
        <f t="shared" si="7"/>
        <v>1</v>
      </c>
      <c r="R47" s="370">
        <f t="shared" si="0"/>
        <v>0</v>
      </c>
      <c r="S47" s="366">
        <f t="shared" si="8"/>
        <v>0</v>
      </c>
      <c r="T47" s="366">
        <v>0</v>
      </c>
      <c r="U47" s="370">
        <f t="shared" si="5"/>
        <v>0</v>
      </c>
      <c r="V47" s="370"/>
      <c r="W47" s="372"/>
      <c r="X47" s="370"/>
      <c r="Y47" s="370"/>
      <c r="Z47" s="370"/>
      <c r="AA47" s="370"/>
      <c r="AB47" s="370"/>
      <c r="AC47" s="370"/>
      <c r="AD47" s="370"/>
      <c r="AE47" s="370"/>
      <c r="AF47" s="370"/>
      <c r="AG47" s="370"/>
      <c r="AH47" s="370"/>
      <c r="AI47" s="370"/>
      <c r="AJ47" s="366"/>
      <c r="AK47" s="366"/>
      <c r="AL47" s="360"/>
      <c r="AM47" s="305"/>
      <c r="AN47" s="305"/>
      <c r="AO47" s="305"/>
      <c r="AP47" s="305"/>
      <c r="AQ47" s="305"/>
      <c r="AR47" s="305"/>
      <c r="AS47" s="305"/>
      <c r="AT47" s="305"/>
      <c r="AU47" s="305"/>
      <c r="AV47" s="305"/>
    </row>
    <row r="48" spans="1:48" s="306" customFormat="1" ht="39" hidden="1">
      <c r="A48" s="308" t="s">
        <v>428</v>
      </c>
      <c r="B48" s="304" t="s">
        <v>540</v>
      </c>
      <c r="C48" s="283" t="s">
        <v>797</v>
      </c>
      <c r="D48" s="284"/>
      <c r="E48" s="284"/>
      <c r="F48" s="284"/>
      <c r="G48" s="284"/>
      <c r="H48" s="284"/>
      <c r="I48" s="284"/>
      <c r="J48" s="366">
        <v>1</v>
      </c>
      <c r="K48" s="370">
        <f t="shared" si="6"/>
        <v>0.85106382978723427</v>
      </c>
      <c r="L48" s="371">
        <v>12</v>
      </c>
      <c r="M48" s="371">
        <v>0</v>
      </c>
      <c r="N48" s="366">
        <f t="shared" si="2"/>
        <v>1</v>
      </c>
      <c r="O48" s="370">
        <f t="shared" si="3"/>
        <v>0</v>
      </c>
      <c r="P48" s="370">
        <f t="shared" si="4"/>
        <v>0</v>
      </c>
      <c r="Q48" s="366">
        <f t="shared" si="7"/>
        <v>1</v>
      </c>
      <c r="R48" s="370">
        <f t="shared" si="0"/>
        <v>0</v>
      </c>
      <c r="S48" s="366">
        <f t="shared" si="8"/>
        <v>0</v>
      </c>
      <c r="T48" s="366">
        <v>0</v>
      </c>
      <c r="U48" s="370">
        <f t="shared" si="5"/>
        <v>0</v>
      </c>
      <c r="V48" s="370"/>
      <c r="W48" s="372"/>
      <c r="X48" s="370"/>
      <c r="Y48" s="370"/>
      <c r="Z48" s="370"/>
      <c r="AA48" s="370"/>
      <c r="AB48" s="370"/>
      <c r="AC48" s="370"/>
      <c r="AD48" s="370"/>
      <c r="AE48" s="370"/>
      <c r="AF48" s="370"/>
      <c r="AG48" s="370"/>
      <c r="AH48" s="370"/>
      <c r="AI48" s="370"/>
      <c r="AJ48" s="366"/>
      <c r="AK48" s="366"/>
      <c r="AL48" s="360"/>
      <c r="AM48" s="305" t="s">
        <v>823</v>
      </c>
      <c r="AN48" s="305"/>
      <c r="AO48" s="305"/>
      <c r="AP48" s="305"/>
      <c r="AQ48" s="305"/>
      <c r="AR48" s="305"/>
      <c r="AS48" s="305"/>
      <c r="AT48" s="305"/>
      <c r="AU48" s="305"/>
      <c r="AV48" s="305"/>
    </row>
    <row r="49" spans="1:48" s="306" customFormat="1" ht="39" hidden="1">
      <c r="A49" s="308" t="s">
        <v>429</v>
      </c>
      <c r="B49" s="304" t="s">
        <v>622</v>
      </c>
      <c r="C49" s="283" t="s">
        <v>794</v>
      </c>
      <c r="D49" s="284"/>
      <c r="E49" s="284"/>
      <c r="F49" s="284"/>
      <c r="G49" s="284"/>
      <c r="H49" s="284"/>
      <c r="I49" s="284"/>
      <c r="J49" s="366">
        <v>1</v>
      </c>
      <c r="K49" s="370">
        <f t="shared" si="6"/>
        <v>4.255319148936171</v>
      </c>
      <c r="L49" s="371">
        <v>60</v>
      </c>
      <c r="M49" s="371"/>
      <c r="N49" s="366">
        <f t="shared" si="2"/>
        <v>1</v>
      </c>
      <c r="O49" s="370">
        <f t="shared" si="3"/>
        <v>0</v>
      </c>
      <c r="P49" s="370">
        <f t="shared" si="4"/>
        <v>0</v>
      </c>
      <c r="Q49" s="366">
        <f t="shared" si="7"/>
        <v>1</v>
      </c>
      <c r="R49" s="370">
        <f t="shared" si="0"/>
        <v>0</v>
      </c>
      <c r="S49" s="366">
        <f t="shared" si="8"/>
        <v>0</v>
      </c>
      <c r="T49" s="366">
        <v>0</v>
      </c>
      <c r="U49" s="370">
        <f t="shared" si="5"/>
        <v>0</v>
      </c>
      <c r="V49" s="370"/>
      <c r="W49" s="372"/>
      <c r="X49" s="370"/>
      <c r="Y49" s="370"/>
      <c r="Z49" s="370"/>
      <c r="AA49" s="370"/>
      <c r="AB49" s="370"/>
      <c r="AC49" s="370"/>
      <c r="AD49" s="370"/>
      <c r="AE49" s="370"/>
      <c r="AF49" s="370"/>
      <c r="AG49" s="370"/>
      <c r="AH49" s="370"/>
      <c r="AI49" s="370"/>
      <c r="AJ49" s="366"/>
      <c r="AK49" s="366"/>
      <c r="AL49" s="360"/>
      <c r="AM49" s="305"/>
      <c r="AN49" s="305"/>
      <c r="AO49" s="305"/>
      <c r="AP49" s="305"/>
      <c r="AQ49" s="305"/>
      <c r="AR49" s="305"/>
      <c r="AS49" s="305"/>
      <c r="AT49" s="305"/>
      <c r="AU49" s="305"/>
      <c r="AV49" s="305"/>
    </row>
    <row r="50" spans="1:48" s="306" customFormat="1" ht="39" hidden="1">
      <c r="A50" s="308" t="s">
        <v>431</v>
      </c>
      <c r="B50" s="304" t="s">
        <v>540</v>
      </c>
      <c r="C50" s="283" t="s">
        <v>797</v>
      </c>
      <c r="D50" s="284"/>
      <c r="E50" s="284"/>
      <c r="F50" s="284"/>
      <c r="G50" s="284"/>
      <c r="H50" s="284"/>
      <c r="I50" s="284"/>
      <c r="J50" s="366">
        <v>1</v>
      </c>
      <c r="K50" s="370">
        <f t="shared" si="6"/>
        <v>4.255319148936171</v>
      </c>
      <c r="L50" s="371">
        <v>60</v>
      </c>
      <c r="M50" s="371">
        <v>0</v>
      </c>
      <c r="N50" s="366">
        <f t="shared" si="2"/>
        <v>1</v>
      </c>
      <c r="O50" s="370">
        <f t="shared" si="3"/>
        <v>0</v>
      </c>
      <c r="P50" s="370">
        <f t="shared" si="4"/>
        <v>0</v>
      </c>
      <c r="Q50" s="366">
        <f t="shared" si="7"/>
        <v>1</v>
      </c>
      <c r="R50" s="370">
        <f t="shared" si="0"/>
        <v>0</v>
      </c>
      <c r="S50" s="366">
        <f t="shared" si="8"/>
        <v>0</v>
      </c>
      <c r="T50" s="366">
        <v>0</v>
      </c>
      <c r="U50" s="370">
        <f t="shared" si="5"/>
        <v>0</v>
      </c>
      <c r="V50" s="370"/>
      <c r="W50" s="372"/>
      <c r="X50" s="370"/>
      <c r="Y50" s="370"/>
      <c r="Z50" s="370"/>
      <c r="AA50" s="370"/>
      <c r="AB50" s="370"/>
      <c r="AC50" s="370"/>
      <c r="AD50" s="370"/>
      <c r="AE50" s="370"/>
      <c r="AF50" s="370"/>
      <c r="AG50" s="370"/>
      <c r="AH50" s="370"/>
      <c r="AI50" s="370"/>
      <c r="AJ50" s="366"/>
      <c r="AK50" s="366"/>
      <c r="AL50" s="360"/>
      <c r="AM50" s="305" t="s">
        <v>823</v>
      </c>
      <c r="AN50" s="305"/>
      <c r="AO50" s="305"/>
      <c r="AP50" s="305"/>
      <c r="AQ50" s="305"/>
      <c r="AR50" s="305"/>
      <c r="AS50" s="305"/>
      <c r="AT50" s="305"/>
      <c r="AU50" s="305"/>
      <c r="AV50" s="305"/>
    </row>
    <row r="51" spans="1:48" s="306" customFormat="1" ht="58.5" hidden="1">
      <c r="A51" s="308" t="s">
        <v>432</v>
      </c>
      <c r="B51" s="304" t="s">
        <v>623</v>
      </c>
      <c r="C51" s="283" t="s">
        <v>794</v>
      </c>
      <c r="D51" s="284"/>
      <c r="E51" s="284"/>
      <c r="F51" s="284"/>
      <c r="G51" s="284"/>
      <c r="H51" s="284"/>
      <c r="I51" s="284"/>
      <c r="J51" s="366">
        <v>1</v>
      </c>
      <c r="K51" s="370">
        <f t="shared" si="6"/>
        <v>0.28368794326241142</v>
      </c>
      <c r="L51" s="371">
        <v>4</v>
      </c>
      <c r="M51" s="371"/>
      <c r="N51" s="366">
        <f t="shared" si="2"/>
        <v>1</v>
      </c>
      <c r="O51" s="370">
        <f t="shared" si="3"/>
        <v>0</v>
      </c>
      <c r="P51" s="370">
        <f t="shared" si="4"/>
        <v>0</v>
      </c>
      <c r="Q51" s="366">
        <f t="shared" si="7"/>
        <v>1</v>
      </c>
      <c r="R51" s="370">
        <f t="shared" si="0"/>
        <v>0</v>
      </c>
      <c r="S51" s="366">
        <f t="shared" si="8"/>
        <v>0</v>
      </c>
      <c r="T51" s="366">
        <v>0</v>
      </c>
      <c r="U51" s="370">
        <f t="shared" si="5"/>
        <v>0</v>
      </c>
      <c r="V51" s="370"/>
      <c r="W51" s="372"/>
      <c r="X51" s="370"/>
      <c r="Y51" s="370"/>
      <c r="Z51" s="370"/>
      <c r="AA51" s="370"/>
      <c r="AB51" s="370"/>
      <c r="AC51" s="370"/>
      <c r="AD51" s="370"/>
      <c r="AE51" s="370"/>
      <c r="AF51" s="370"/>
      <c r="AG51" s="370"/>
      <c r="AH51" s="370"/>
      <c r="AI51" s="370"/>
      <c r="AJ51" s="366"/>
      <c r="AK51" s="366"/>
      <c r="AL51" s="360"/>
      <c r="AM51" s="305"/>
      <c r="AN51" s="305"/>
      <c r="AO51" s="305"/>
      <c r="AP51" s="305"/>
      <c r="AQ51" s="305"/>
      <c r="AR51" s="305"/>
      <c r="AS51" s="305"/>
      <c r="AT51" s="305"/>
      <c r="AU51" s="305"/>
      <c r="AV51" s="305"/>
    </row>
    <row r="52" spans="1:48" s="306" customFormat="1" ht="39" hidden="1">
      <c r="A52" s="308" t="s">
        <v>434</v>
      </c>
      <c r="B52" s="304" t="s">
        <v>540</v>
      </c>
      <c r="C52" s="283" t="s">
        <v>797</v>
      </c>
      <c r="D52" s="284"/>
      <c r="E52" s="284"/>
      <c r="F52" s="284"/>
      <c r="G52" s="284"/>
      <c r="H52" s="284"/>
      <c r="I52" s="284"/>
      <c r="J52" s="366">
        <v>1</v>
      </c>
      <c r="K52" s="370">
        <f t="shared" si="6"/>
        <v>0.28368794326241142</v>
      </c>
      <c r="L52" s="371">
        <v>4</v>
      </c>
      <c r="M52" s="371">
        <v>0</v>
      </c>
      <c r="N52" s="366">
        <f t="shared" si="2"/>
        <v>1</v>
      </c>
      <c r="O52" s="370">
        <f t="shared" si="3"/>
        <v>0</v>
      </c>
      <c r="P52" s="370">
        <f t="shared" si="4"/>
        <v>0</v>
      </c>
      <c r="Q52" s="366">
        <f t="shared" si="7"/>
        <v>1</v>
      </c>
      <c r="R52" s="370">
        <f t="shared" si="0"/>
        <v>0</v>
      </c>
      <c r="S52" s="366">
        <f t="shared" si="8"/>
        <v>0</v>
      </c>
      <c r="T52" s="366">
        <v>0</v>
      </c>
      <c r="U52" s="370">
        <f t="shared" si="5"/>
        <v>0</v>
      </c>
      <c r="V52" s="370"/>
      <c r="W52" s="372"/>
      <c r="X52" s="370"/>
      <c r="Y52" s="370"/>
      <c r="Z52" s="370"/>
      <c r="AA52" s="370"/>
      <c r="AB52" s="370"/>
      <c r="AC52" s="370"/>
      <c r="AD52" s="370"/>
      <c r="AE52" s="370"/>
      <c r="AF52" s="370"/>
      <c r="AG52" s="370"/>
      <c r="AH52" s="370"/>
      <c r="AI52" s="370"/>
      <c r="AJ52" s="366"/>
      <c r="AK52" s="366"/>
      <c r="AL52" s="360"/>
      <c r="AM52" s="305" t="s">
        <v>823</v>
      </c>
      <c r="AN52" s="305"/>
      <c r="AO52" s="305"/>
      <c r="AP52" s="305"/>
      <c r="AQ52" s="305"/>
      <c r="AR52" s="305"/>
      <c r="AS52" s="305"/>
      <c r="AT52" s="305"/>
      <c r="AU52" s="305"/>
      <c r="AV52" s="305"/>
    </row>
    <row r="53" spans="1:48" s="306" customFormat="1" ht="58.5" hidden="1">
      <c r="A53" s="308" t="s">
        <v>435</v>
      </c>
      <c r="B53" s="304" t="s">
        <v>624</v>
      </c>
      <c r="C53" s="283" t="s">
        <v>794</v>
      </c>
      <c r="D53" s="284"/>
      <c r="E53" s="284"/>
      <c r="F53" s="284"/>
      <c r="G53" s="284"/>
      <c r="H53" s="284"/>
      <c r="I53" s="284"/>
      <c r="J53" s="366">
        <v>1</v>
      </c>
      <c r="K53" s="370">
        <f t="shared" si="6"/>
        <v>0.28368794326241142</v>
      </c>
      <c r="L53" s="371">
        <v>4</v>
      </c>
      <c r="M53" s="371"/>
      <c r="N53" s="366">
        <f t="shared" si="2"/>
        <v>1</v>
      </c>
      <c r="O53" s="370">
        <f t="shared" si="3"/>
        <v>0</v>
      </c>
      <c r="P53" s="370">
        <f t="shared" si="4"/>
        <v>0</v>
      </c>
      <c r="Q53" s="366">
        <f t="shared" si="7"/>
        <v>1</v>
      </c>
      <c r="R53" s="370">
        <f t="shared" si="0"/>
        <v>0</v>
      </c>
      <c r="S53" s="366">
        <f t="shared" si="8"/>
        <v>0</v>
      </c>
      <c r="T53" s="366">
        <v>0</v>
      </c>
      <c r="U53" s="370">
        <f t="shared" si="5"/>
        <v>0</v>
      </c>
      <c r="V53" s="370"/>
      <c r="W53" s="372"/>
      <c r="X53" s="370"/>
      <c r="Y53" s="370"/>
      <c r="Z53" s="370"/>
      <c r="AA53" s="370"/>
      <c r="AB53" s="370"/>
      <c r="AC53" s="370"/>
      <c r="AD53" s="370"/>
      <c r="AE53" s="370"/>
      <c r="AF53" s="370"/>
      <c r="AG53" s="370"/>
      <c r="AH53" s="370"/>
      <c r="AI53" s="370"/>
      <c r="AJ53" s="366"/>
      <c r="AK53" s="366"/>
      <c r="AL53" s="360"/>
      <c r="AM53" s="305"/>
      <c r="AN53" s="305"/>
      <c r="AO53" s="305"/>
      <c r="AP53" s="305"/>
      <c r="AQ53" s="305"/>
      <c r="AR53" s="305"/>
      <c r="AS53" s="305"/>
      <c r="AT53" s="305"/>
      <c r="AU53" s="305"/>
      <c r="AV53" s="305"/>
    </row>
    <row r="54" spans="1:48" s="306" customFormat="1" ht="39" hidden="1">
      <c r="A54" s="308" t="s">
        <v>437</v>
      </c>
      <c r="B54" s="304" t="s">
        <v>540</v>
      </c>
      <c r="C54" s="283" t="s">
        <v>797</v>
      </c>
      <c r="D54" s="284"/>
      <c r="E54" s="284"/>
      <c r="F54" s="284"/>
      <c r="G54" s="284"/>
      <c r="H54" s="284"/>
      <c r="I54" s="284"/>
      <c r="J54" s="366">
        <v>1</v>
      </c>
      <c r="K54" s="370">
        <f t="shared" si="6"/>
        <v>0.28368794326241142</v>
      </c>
      <c r="L54" s="371">
        <v>4</v>
      </c>
      <c r="M54" s="371">
        <v>0</v>
      </c>
      <c r="N54" s="366">
        <f t="shared" si="2"/>
        <v>1</v>
      </c>
      <c r="O54" s="370">
        <f t="shared" si="3"/>
        <v>0</v>
      </c>
      <c r="P54" s="370">
        <f t="shared" si="4"/>
        <v>0</v>
      </c>
      <c r="Q54" s="366">
        <f t="shared" si="7"/>
        <v>1</v>
      </c>
      <c r="R54" s="370">
        <f t="shared" si="0"/>
        <v>0</v>
      </c>
      <c r="S54" s="366">
        <f t="shared" si="8"/>
        <v>0</v>
      </c>
      <c r="T54" s="366">
        <v>0</v>
      </c>
      <c r="U54" s="370">
        <f t="shared" si="5"/>
        <v>0</v>
      </c>
      <c r="V54" s="370"/>
      <c r="W54" s="372"/>
      <c r="X54" s="370"/>
      <c r="Y54" s="370"/>
      <c r="Z54" s="370"/>
      <c r="AA54" s="370"/>
      <c r="AB54" s="370"/>
      <c r="AC54" s="370"/>
      <c r="AD54" s="370"/>
      <c r="AE54" s="370"/>
      <c r="AF54" s="370"/>
      <c r="AG54" s="370"/>
      <c r="AH54" s="370"/>
      <c r="AI54" s="370"/>
      <c r="AJ54" s="366"/>
      <c r="AK54" s="366"/>
      <c r="AL54" s="360"/>
      <c r="AM54" s="305" t="s">
        <v>823</v>
      </c>
      <c r="AN54" s="305"/>
      <c r="AO54" s="305"/>
      <c r="AP54" s="305"/>
      <c r="AQ54" s="305"/>
      <c r="AR54" s="305"/>
      <c r="AS54" s="305"/>
      <c r="AT54" s="305"/>
      <c r="AU54" s="305"/>
      <c r="AV54" s="305"/>
    </row>
    <row r="55" spans="1:48" s="306" customFormat="1" ht="39" hidden="1">
      <c r="A55" s="308" t="s">
        <v>438</v>
      </c>
      <c r="B55" s="304" t="s">
        <v>625</v>
      </c>
      <c r="C55" s="283" t="s">
        <v>794</v>
      </c>
      <c r="D55" s="284"/>
      <c r="E55" s="284"/>
      <c r="F55" s="284"/>
      <c r="G55" s="284"/>
      <c r="H55" s="284"/>
      <c r="I55" s="284"/>
      <c r="J55" s="366">
        <v>1</v>
      </c>
      <c r="K55" s="370">
        <f t="shared" si="6"/>
        <v>0.28368794326241142</v>
      </c>
      <c r="L55" s="371">
        <v>4</v>
      </c>
      <c r="M55" s="371"/>
      <c r="N55" s="366">
        <f t="shared" si="2"/>
        <v>1</v>
      </c>
      <c r="O55" s="370">
        <f t="shared" si="3"/>
        <v>0</v>
      </c>
      <c r="P55" s="370">
        <f t="shared" si="4"/>
        <v>0</v>
      </c>
      <c r="Q55" s="366">
        <f t="shared" si="7"/>
        <v>1</v>
      </c>
      <c r="R55" s="370">
        <f t="shared" si="0"/>
        <v>0</v>
      </c>
      <c r="S55" s="366">
        <f t="shared" si="8"/>
        <v>0</v>
      </c>
      <c r="T55" s="366">
        <v>0</v>
      </c>
      <c r="U55" s="370">
        <f t="shared" si="5"/>
        <v>0</v>
      </c>
      <c r="V55" s="370"/>
      <c r="W55" s="372"/>
      <c r="X55" s="370"/>
      <c r="Y55" s="370"/>
      <c r="Z55" s="370"/>
      <c r="AA55" s="370"/>
      <c r="AB55" s="370"/>
      <c r="AC55" s="370"/>
      <c r="AD55" s="370"/>
      <c r="AE55" s="370"/>
      <c r="AF55" s="370"/>
      <c r="AG55" s="370"/>
      <c r="AH55" s="370"/>
      <c r="AI55" s="370"/>
      <c r="AJ55" s="366"/>
      <c r="AK55" s="366"/>
      <c r="AL55" s="360"/>
      <c r="AM55" s="305"/>
      <c r="AN55" s="305"/>
      <c r="AO55" s="305"/>
      <c r="AP55" s="305"/>
      <c r="AQ55" s="305"/>
      <c r="AR55" s="305"/>
      <c r="AS55" s="305"/>
      <c r="AT55" s="305"/>
      <c r="AU55" s="305"/>
      <c r="AV55" s="305"/>
    </row>
    <row r="56" spans="1:48" s="306" customFormat="1" ht="39" hidden="1">
      <c r="A56" s="308" t="s">
        <v>440</v>
      </c>
      <c r="B56" s="304" t="s">
        <v>540</v>
      </c>
      <c r="C56" s="283" t="s">
        <v>797</v>
      </c>
      <c r="D56" s="284"/>
      <c r="E56" s="284"/>
      <c r="F56" s="284"/>
      <c r="G56" s="284"/>
      <c r="H56" s="284"/>
      <c r="I56" s="284"/>
      <c r="J56" s="366">
        <v>1</v>
      </c>
      <c r="K56" s="370">
        <f t="shared" si="6"/>
        <v>0.28368794326241142</v>
      </c>
      <c r="L56" s="371">
        <v>4</v>
      </c>
      <c r="M56" s="371">
        <v>0</v>
      </c>
      <c r="N56" s="366">
        <f t="shared" si="2"/>
        <v>1</v>
      </c>
      <c r="O56" s="370">
        <f t="shared" si="3"/>
        <v>0</v>
      </c>
      <c r="P56" s="370">
        <f t="shared" si="4"/>
        <v>0</v>
      </c>
      <c r="Q56" s="366">
        <f t="shared" si="7"/>
        <v>1</v>
      </c>
      <c r="R56" s="370">
        <f t="shared" si="0"/>
        <v>0</v>
      </c>
      <c r="S56" s="366">
        <f t="shared" si="8"/>
        <v>0</v>
      </c>
      <c r="T56" s="366">
        <v>0</v>
      </c>
      <c r="U56" s="370">
        <f t="shared" si="5"/>
        <v>0</v>
      </c>
      <c r="V56" s="370"/>
      <c r="W56" s="372"/>
      <c r="X56" s="370"/>
      <c r="Y56" s="370"/>
      <c r="Z56" s="370"/>
      <c r="AA56" s="370"/>
      <c r="AB56" s="370"/>
      <c r="AC56" s="370"/>
      <c r="AD56" s="370"/>
      <c r="AE56" s="370"/>
      <c r="AF56" s="370"/>
      <c r="AG56" s="370"/>
      <c r="AH56" s="370"/>
      <c r="AI56" s="370"/>
      <c r="AJ56" s="366"/>
      <c r="AK56" s="366"/>
      <c r="AL56" s="360"/>
      <c r="AM56" s="305" t="s">
        <v>823</v>
      </c>
      <c r="AN56" s="305"/>
      <c r="AO56" s="305"/>
      <c r="AP56" s="305"/>
      <c r="AQ56" s="305"/>
      <c r="AR56" s="305"/>
      <c r="AS56" s="305"/>
      <c r="AT56" s="305"/>
      <c r="AU56" s="305"/>
      <c r="AV56" s="305"/>
    </row>
    <row r="57" spans="1:48" s="306" customFormat="1" ht="58.5" hidden="1">
      <c r="A57" s="308" t="s">
        <v>441</v>
      </c>
      <c r="B57" s="304" t="s">
        <v>626</v>
      </c>
      <c r="C57" s="283" t="s">
        <v>794</v>
      </c>
      <c r="D57" s="284"/>
      <c r="E57" s="284"/>
      <c r="F57" s="284"/>
      <c r="G57" s="284"/>
      <c r="H57" s="284"/>
      <c r="I57" s="284"/>
      <c r="J57" s="366">
        <v>1</v>
      </c>
      <c r="K57" s="370">
        <f t="shared" si="6"/>
        <v>0.28368794326241142</v>
      </c>
      <c r="L57" s="371">
        <v>4</v>
      </c>
      <c r="M57" s="371"/>
      <c r="N57" s="366">
        <f t="shared" si="2"/>
        <v>1</v>
      </c>
      <c r="O57" s="370">
        <f t="shared" si="3"/>
        <v>0</v>
      </c>
      <c r="P57" s="370">
        <f t="shared" si="4"/>
        <v>0</v>
      </c>
      <c r="Q57" s="366">
        <f t="shared" si="7"/>
        <v>1</v>
      </c>
      <c r="R57" s="370">
        <f t="shared" si="0"/>
        <v>0</v>
      </c>
      <c r="S57" s="366">
        <f t="shared" si="8"/>
        <v>0</v>
      </c>
      <c r="T57" s="366">
        <v>0</v>
      </c>
      <c r="U57" s="370">
        <f t="shared" si="5"/>
        <v>0</v>
      </c>
      <c r="V57" s="370"/>
      <c r="W57" s="372"/>
      <c r="X57" s="370"/>
      <c r="Y57" s="370"/>
      <c r="Z57" s="370"/>
      <c r="AA57" s="370"/>
      <c r="AB57" s="370"/>
      <c r="AC57" s="370"/>
      <c r="AD57" s="370"/>
      <c r="AE57" s="370"/>
      <c r="AF57" s="370"/>
      <c r="AG57" s="370"/>
      <c r="AH57" s="370"/>
      <c r="AI57" s="370"/>
      <c r="AJ57" s="366"/>
      <c r="AK57" s="366"/>
      <c r="AL57" s="360"/>
      <c r="AM57" s="305"/>
      <c r="AN57" s="305"/>
      <c r="AO57" s="305"/>
      <c r="AP57" s="305"/>
      <c r="AQ57" s="305"/>
      <c r="AR57" s="305"/>
      <c r="AS57" s="305"/>
      <c r="AT57" s="305"/>
      <c r="AU57" s="305"/>
      <c r="AV57" s="305"/>
    </row>
    <row r="58" spans="1:48" s="306" customFormat="1" ht="39" hidden="1">
      <c r="A58" s="308" t="s">
        <v>443</v>
      </c>
      <c r="B58" s="304" t="s">
        <v>540</v>
      </c>
      <c r="C58" s="283" t="s">
        <v>797</v>
      </c>
      <c r="D58" s="284"/>
      <c r="E58" s="284"/>
      <c r="F58" s="284"/>
      <c r="G58" s="284"/>
      <c r="H58" s="284"/>
      <c r="I58" s="284"/>
      <c r="J58" s="366">
        <v>1</v>
      </c>
      <c r="K58" s="370">
        <f t="shared" si="6"/>
        <v>0.28368794326241142</v>
      </c>
      <c r="L58" s="371">
        <v>4</v>
      </c>
      <c r="M58" s="371">
        <v>0</v>
      </c>
      <c r="N58" s="366">
        <f t="shared" si="2"/>
        <v>1</v>
      </c>
      <c r="O58" s="370">
        <f t="shared" si="3"/>
        <v>0</v>
      </c>
      <c r="P58" s="370">
        <f t="shared" si="4"/>
        <v>0</v>
      </c>
      <c r="Q58" s="366">
        <f t="shared" si="7"/>
        <v>1</v>
      </c>
      <c r="R58" s="370">
        <f t="shared" si="0"/>
        <v>0</v>
      </c>
      <c r="S58" s="366">
        <f t="shared" si="8"/>
        <v>0</v>
      </c>
      <c r="T58" s="366">
        <v>0</v>
      </c>
      <c r="U58" s="370">
        <f t="shared" si="5"/>
        <v>0</v>
      </c>
      <c r="V58" s="370"/>
      <c r="W58" s="372"/>
      <c r="X58" s="370"/>
      <c r="Y58" s="370"/>
      <c r="Z58" s="370"/>
      <c r="AA58" s="370"/>
      <c r="AB58" s="370"/>
      <c r="AC58" s="370"/>
      <c r="AD58" s="370"/>
      <c r="AE58" s="370"/>
      <c r="AF58" s="370"/>
      <c r="AG58" s="370"/>
      <c r="AH58" s="370"/>
      <c r="AI58" s="370"/>
      <c r="AJ58" s="366"/>
      <c r="AK58" s="366"/>
      <c r="AL58" s="360"/>
      <c r="AM58" s="305" t="s">
        <v>823</v>
      </c>
      <c r="AN58" s="305"/>
      <c r="AO58" s="305"/>
      <c r="AP58" s="305"/>
      <c r="AQ58" s="305"/>
      <c r="AR58" s="305"/>
      <c r="AS58" s="305"/>
      <c r="AT58" s="305"/>
      <c r="AU58" s="305"/>
      <c r="AV58" s="305"/>
    </row>
    <row r="59" spans="1:48" s="306" customFormat="1" ht="39" hidden="1">
      <c r="A59" s="308" t="s">
        <v>444</v>
      </c>
      <c r="B59" s="304" t="s">
        <v>809</v>
      </c>
      <c r="C59" s="283" t="s">
        <v>794</v>
      </c>
      <c r="D59" s="284"/>
      <c r="E59" s="284"/>
      <c r="F59" s="284"/>
      <c r="G59" s="284"/>
      <c r="H59" s="284"/>
      <c r="I59" s="284"/>
      <c r="J59" s="366">
        <v>82.6</v>
      </c>
      <c r="K59" s="370">
        <f t="shared" si="6"/>
        <v>1.3475177304964541</v>
      </c>
      <c r="L59" s="371">
        <v>19</v>
      </c>
      <c r="M59" s="371"/>
      <c r="N59" s="366">
        <f t="shared" si="2"/>
        <v>82.6</v>
      </c>
      <c r="O59" s="370">
        <f t="shared" si="3"/>
        <v>0</v>
      </c>
      <c r="P59" s="370">
        <f t="shared" si="4"/>
        <v>0</v>
      </c>
      <c r="Q59" s="366">
        <f t="shared" si="7"/>
        <v>82.6</v>
      </c>
      <c r="R59" s="370">
        <f t="shared" si="0"/>
        <v>0</v>
      </c>
      <c r="S59" s="366">
        <f t="shared" si="8"/>
        <v>0</v>
      </c>
      <c r="T59" s="366">
        <v>0</v>
      </c>
      <c r="U59" s="370">
        <f t="shared" si="5"/>
        <v>0</v>
      </c>
      <c r="V59" s="370"/>
      <c r="W59" s="372"/>
      <c r="X59" s="370"/>
      <c r="Y59" s="370"/>
      <c r="Z59" s="370"/>
      <c r="AA59" s="370"/>
      <c r="AB59" s="370"/>
      <c r="AC59" s="370"/>
      <c r="AD59" s="370"/>
      <c r="AE59" s="370"/>
      <c r="AF59" s="370"/>
      <c r="AG59" s="370"/>
      <c r="AH59" s="370"/>
      <c r="AI59" s="370"/>
      <c r="AJ59" s="366"/>
      <c r="AK59" s="366"/>
      <c r="AL59" s="360"/>
      <c r="AM59" s="305"/>
      <c r="AN59" s="305"/>
      <c r="AO59" s="305"/>
      <c r="AP59" s="305"/>
      <c r="AQ59" s="305"/>
      <c r="AR59" s="305"/>
      <c r="AS59" s="305"/>
      <c r="AT59" s="305"/>
      <c r="AU59" s="305"/>
      <c r="AV59" s="305"/>
    </row>
    <row r="60" spans="1:48" s="306" customFormat="1" ht="39" hidden="1">
      <c r="A60" s="308" t="s">
        <v>446</v>
      </c>
      <c r="B60" s="304" t="s">
        <v>540</v>
      </c>
      <c r="C60" s="283" t="s">
        <v>797</v>
      </c>
      <c r="D60" s="284"/>
      <c r="E60" s="284"/>
      <c r="F60" s="284"/>
      <c r="G60" s="284"/>
      <c r="H60" s="284"/>
      <c r="I60" s="284"/>
      <c r="J60" s="366">
        <v>82.6</v>
      </c>
      <c r="K60" s="370">
        <f t="shared" si="6"/>
        <v>1.3475177304964541</v>
      </c>
      <c r="L60" s="371">
        <v>19</v>
      </c>
      <c r="M60" s="371">
        <v>18.5</v>
      </c>
      <c r="N60" s="366">
        <f t="shared" si="2"/>
        <v>82.6</v>
      </c>
      <c r="O60" s="370">
        <f t="shared" si="3"/>
        <v>2.6241134751773054</v>
      </c>
      <c r="P60" s="370">
        <f t="shared" si="4"/>
        <v>18.5</v>
      </c>
      <c r="Q60" s="366">
        <f t="shared" si="7"/>
        <v>82.6</v>
      </c>
      <c r="R60" s="370">
        <f t="shared" si="0"/>
        <v>2.6241134751773054</v>
      </c>
      <c r="S60" s="366">
        <f t="shared" si="8"/>
        <v>100</v>
      </c>
      <c r="T60" s="366">
        <v>14.57</v>
      </c>
      <c r="U60" s="370">
        <f t="shared" si="5"/>
        <v>78.756756756756758</v>
      </c>
      <c r="V60" s="370"/>
      <c r="W60" s="372"/>
      <c r="X60" s="370"/>
      <c r="Y60" s="370"/>
      <c r="Z60" s="370"/>
      <c r="AA60" s="370"/>
      <c r="AB60" s="370"/>
      <c r="AC60" s="370"/>
      <c r="AD60" s="370"/>
      <c r="AE60" s="370"/>
      <c r="AF60" s="370"/>
      <c r="AG60" s="370"/>
      <c r="AH60" s="370"/>
      <c r="AI60" s="370"/>
      <c r="AJ60" s="366"/>
      <c r="AK60" s="366"/>
      <c r="AL60" s="360"/>
      <c r="AM60" s="305" t="s">
        <v>820</v>
      </c>
      <c r="AN60" s="305"/>
      <c r="AO60" s="305"/>
      <c r="AP60" s="305"/>
      <c r="AQ60" s="305"/>
      <c r="AR60" s="305"/>
      <c r="AS60" s="305"/>
      <c r="AT60" s="305"/>
      <c r="AU60" s="305"/>
      <c r="AV60" s="305"/>
    </row>
    <row r="61" spans="1:48" s="306" customFormat="1" ht="39" hidden="1">
      <c r="A61" s="308" t="s">
        <v>447</v>
      </c>
      <c r="B61" s="304" t="s">
        <v>628</v>
      </c>
      <c r="C61" s="283" t="s">
        <v>794</v>
      </c>
      <c r="D61" s="284"/>
      <c r="E61" s="284"/>
      <c r="F61" s="284"/>
      <c r="G61" s="284"/>
      <c r="H61" s="284"/>
      <c r="I61" s="284"/>
      <c r="J61" s="366">
        <v>1</v>
      </c>
      <c r="K61" s="370">
        <f t="shared" si="6"/>
        <v>0.42553191489361714</v>
      </c>
      <c r="L61" s="371">
        <v>6</v>
      </c>
      <c r="M61" s="371"/>
      <c r="N61" s="366">
        <f t="shared" si="2"/>
        <v>1</v>
      </c>
      <c r="O61" s="370">
        <f t="shared" si="3"/>
        <v>0</v>
      </c>
      <c r="P61" s="370">
        <f t="shared" si="4"/>
        <v>0</v>
      </c>
      <c r="Q61" s="366">
        <f t="shared" si="7"/>
        <v>1</v>
      </c>
      <c r="R61" s="370">
        <f t="shared" si="0"/>
        <v>0</v>
      </c>
      <c r="S61" s="366">
        <f t="shared" si="8"/>
        <v>0</v>
      </c>
      <c r="T61" s="366">
        <v>0</v>
      </c>
      <c r="U61" s="370">
        <f t="shared" si="5"/>
        <v>0</v>
      </c>
      <c r="V61" s="370"/>
      <c r="W61" s="372"/>
      <c r="X61" s="370"/>
      <c r="Y61" s="370"/>
      <c r="Z61" s="370"/>
      <c r="AA61" s="370"/>
      <c r="AB61" s="370"/>
      <c r="AC61" s="370"/>
      <c r="AD61" s="370"/>
      <c r="AE61" s="370"/>
      <c r="AF61" s="370"/>
      <c r="AG61" s="370"/>
      <c r="AH61" s="370"/>
      <c r="AI61" s="370"/>
      <c r="AJ61" s="366"/>
      <c r="AK61" s="366"/>
      <c r="AL61" s="360"/>
      <c r="AM61" s="305"/>
      <c r="AN61" s="305"/>
      <c r="AO61" s="305"/>
      <c r="AP61" s="305"/>
      <c r="AQ61" s="305"/>
      <c r="AR61" s="305"/>
      <c r="AS61" s="305"/>
      <c r="AT61" s="305"/>
      <c r="AU61" s="305"/>
      <c r="AV61" s="305"/>
    </row>
    <row r="62" spans="1:48" s="306" customFormat="1" ht="39" hidden="1">
      <c r="A62" s="308" t="s">
        <v>449</v>
      </c>
      <c r="B62" s="304" t="s">
        <v>540</v>
      </c>
      <c r="C62" s="283" t="s">
        <v>797</v>
      </c>
      <c r="D62" s="284"/>
      <c r="E62" s="284"/>
      <c r="F62" s="284"/>
      <c r="G62" s="284"/>
      <c r="H62" s="284"/>
      <c r="I62" s="284"/>
      <c r="J62" s="366">
        <v>1</v>
      </c>
      <c r="K62" s="370">
        <f t="shared" si="6"/>
        <v>0.42553191489361714</v>
      </c>
      <c r="L62" s="371">
        <v>6</v>
      </c>
      <c r="M62" s="371">
        <v>0</v>
      </c>
      <c r="N62" s="366">
        <f t="shared" si="2"/>
        <v>1</v>
      </c>
      <c r="O62" s="370">
        <f t="shared" si="3"/>
        <v>0</v>
      </c>
      <c r="P62" s="370">
        <f t="shared" si="4"/>
        <v>0</v>
      </c>
      <c r="Q62" s="366">
        <f t="shared" si="7"/>
        <v>1</v>
      </c>
      <c r="R62" s="370">
        <f t="shared" si="0"/>
        <v>0</v>
      </c>
      <c r="S62" s="366">
        <f t="shared" si="8"/>
        <v>0</v>
      </c>
      <c r="T62" s="366">
        <v>0</v>
      </c>
      <c r="U62" s="370">
        <f t="shared" si="5"/>
        <v>0</v>
      </c>
      <c r="V62" s="370"/>
      <c r="W62" s="372"/>
      <c r="X62" s="370"/>
      <c r="Y62" s="370"/>
      <c r="Z62" s="370"/>
      <c r="AA62" s="370"/>
      <c r="AB62" s="370"/>
      <c r="AC62" s="370"/>
      <c r="AD62" s="370"/>
      <c r="AE62" s="370"/>
      <c r="AF62" s="370"/>
      <c r="AG62" s="370"/>
      <c r="AH62" s="370"/>
      <c r="AI62" s="370"/>
      <c r="AJ62" s="366"/>
      <c r="AK62" s="366"/>
      <c r="AL62" s="360"/>
      <c r="AM62" s="305" t="s">
        <v>820</v>
      </c>
      <c r="AN62" s="305"/>
      <c r="AO62" s="305"/>
      <c r="AP62" s="305"/>
      <c r="AQ62" s="305"/>
      <c r="AR62" s="305"/>
      <c r="AS62" s="305"/>
      <c r="AT62" s="305"/>
      <c r="AU62" s="305"/>
      <c r="AV62" s="305"/>
    </row>
    <row r="63" spans="1:48" s="306" customFormat="1" ht="58.5" hidden="1">
      <c r="A63" s="308" t="s">
        <v>255</v>
      </c>
      <c r="B63" s="297" t="s">
        <v>629</v>
      </c>
      <c r="C63" s="283" t="s">
        <v>794</v>
      </c>
      <c r="D63" s="284"/>
      <c r="E63" s="284"/>
      <c r="F63" s="284"/>
      <c r="G63" s="284"/>
      <c r="H63" s="284"/>
      <c r="I63" s="284"/>
      <c r="J63" s="366">
        <v>26.03</v>
      </c>
      <c r="K63" s="370">
        <f t="shared" si="6"/>
        <v>5.3900709219858163</v>
      </c>
      <c r="L63" s="371">
        <v>76</v>
      </c>
      <c r="M63" s="371"/>
      <c r="N63" s="366">
        <f t="shared" si="2"/>
        <v>26.03</v>
      </c>
      <c r="O63" s="370">
        <f t="shared" si="3"/>
        <v>0</v>
      </c>
      <c r="P63" s="370">
        <f t="shared" si="4"/>
        <v>0</v>
      </c>
      <c r="Q63" s="366">
        <f t="shared" si="7"/>
        <v>26.03</v>
      </c>
      <c r="R63" s="370">
        <f t="shared" si="0"/>
        <v>0</v>
      </c>
      <c r="S63" s="366">
        <f t="shared" si="8"/>
        <v>0</v>
      </c>
      <c r="T63" s="366">
        <v>0</v>
      </c>
      <c r="U63" s="370">
        <f t="shared" si="5"/>
        <v>0</v>
      </c>
      <c r="V63" s="370"/>
      <c r="W63" s="372"/>
      <c r="X63" s="370"/>
      <c r="Y63" s="370"/>
      <c r="Z63" s="370"/>
      <c r="AA63" s="370"/>
      <c r="AB63" s="370"/>
      <c r="AC63" s="370"/>
      <c r="AD63" s="370"/>
      <c r="AE63" s="370"/>
      <c r="AF63" s="370"/>
      <c r="AG63" s="370"/>
      <c r="AH63" s="370"/>
      <c r="AI63" s="370"/>
      <c r="AJ63" s="366"/>
      <c r="AK63" s="366"/>
      <c r="AL63" s="360"/>
      <c r="AM63" s="305"/>
      <c r="AN63" s="305"/>
      <c r="AO63" s="305"/>
      <c r="AP63" s="305"/>
      <c r="AQ63" s="305"/>
      <c r="AR63" s="305"/>
      <c r="AS63" s="305"/>
      <c r="AT63" s="305"/>
      <c r="AU63" s="305"/>
      <c r="AV63" s="305"/>
    </row>
    <row r="64" spans="1:48" s="306" customFormat="1" ht="39" hidden="1">
      <c r="A64" s="308" t="s">
        <v>257</v>
      </c>
      <c r="B64" s="304" t="s">
        <v>561</v>
      </c>
      <c r="C64" s="283" t="s">
        <v>797</v>
      </c>
      <c r="D64" s="284"/>
      <c r="E64" s="284"/>
      <c r="F64" s="284"/>
      <c r="G64" s="284"/>
      <c r="H64" s="284"/>
      <c r="I64" s="284"/>
      <c r="J64" s="366">
        <v>26.03</v>
      </c>
      <c r="K64" s="370">
        <f t="shared" si="6"/>
        <v>5.3900709219858163</v>
      </c>
      <c r="L64" s="371">
        <v>76</v>
      </c>
      <c r="M64" s="371">
        <v>47</v>
      </c>
      <c r="N64" s="366">
        <f t="shared" si="2"/>
        <v>26.03</v>
      </c>
      <c r="O64" s="370">
        <f t="shared" si="3"/>
        <v>6.6666666666666679</v>
      </c>
      <c r="P64" s="370">
        <f t="shared" si="4"/>
        <v>47</v>
      </c>
      <c r="Q64" s="366">
        <f t="shared" si="7"/>
        <v>26.03</v>
      </c>
      <c r="R64" s="370">
        <f t="shared" si="0"/>
        <v>6.6666666666666679</v>
      </c>
      <c r="S64" s="366">
        <f t="shared" si="8"/>
        <v>100</v>
      </c>
      <c r="T64" s="366">
        <v>46.99</v>
      </c>
      <c r="U64" s="370">
        <f t="shared" si="5"/>
        <v>99.978723404255319</v>
      </c>
      <c r="V64" s="370"/>
      <c r="W64" s="372"/>
      <c r="X64" s="370"/>
      <c r="Y64" s="370"/>
      <c r="Z64" s="370"/>
      <c r="AA64" s="370"/>
      <c r="AB64" s="370"/>
      <c r="AC64" s="370"/>
      <c r="AD64" s="370"/>
      <c r="AE64" s="370"/>
      <c r="AF64" s="370"/>
      <c r="AG64" s="370"/>
      <c r="AH64" s="370"/>
      <c r="AI64" s="370"/>
      <c r="AJ64" s="366"/>
      <c r="AK64" s="366"/>
      <c r="AL64" s="360"/>
      <c r="AM64" s="305" t="s">
        <v>823</v>
      </c>
      <c r="AN64" s="305"/>
      <c r="AO64" s="305"/>
      <c r="AP64" s="305"/>
      <c r="AQ64" s="305"/>
      <c r="AR64" s="305"/>
      <c r="AS64" s="305"/>
      <c r="AT64" s="305"/>
      <c r="AU64" s="305"/>
      <c r="AV64" s="305"/>
    </row>
    <row r="65" spans="1:48" s="306" customFormat="1" ht="40.5" hidden="1">
      <c r="A65" s="308" t="s">
        <v>260</v>
      </c>
      <c r="B65" s="353" t="s">
        <v>673</v>
      </c>
      <c r="C65" s="283" t="s">
        <v>794</v>
      </c>
      <c r="D65" s="284"/>
      <c r="E65" s="284"/>
      <c r="F65" s="284"/>
      <c r="G65" s="284"/>
      <c r="H65" s="284"/>
      <c r="I65" s="284"/>
      <c r="J65" s="366">
        <v>1.5</v>
      </c>
      <c r="K65" s="370">
        <f t="shared" si="6"/>
        <v>1.9148936170212769</v>
      </c>
      <c r="L65" s="371">
        <v>27</v>
      </c>
      <c r="M65" s="371"/>
      <c r="N65" s="366">
        <f t="shared" si="2"/>
        <v>1.5</v>
      </c>
      <c r="O65" s="370">
        <f t="shared" si="3"/>
        <v>0</v>
      </c>
      <c r="P65" s="370">
        <f t="shared" si="4"/>
        <v>0</v>
      </c>
      <c r="Q65" s="366">
        <f t="shared" si="7"/>
        <v>1.5</v>
      </c>
      <c r="R65" s="370">
        <f t="shared" si="0"/>
        <v>0</v>
      </c>
      <c r="S65" s="366">
        <f t="shared" si="8"/>
        <v>0</v>
      </c>
      <c r="T65" s="366">
        <v>0</v>
      </c>
      <c r="U65" s="370">
        <f t="shared" si="5"/>
        <v>0</v>
      </c>
      <c r="V65" s="370"/>
      <c r="W65" s="372"/>
      <c r="X65" s="370"/>
      <c r="Y65" s="370"/>
      <c r="Z65" s="370"/>
      <c r="AA65" s="370"/>
      <c r="AB65" s="370"/>
      <c r="AC65" s="370"/>
      <c r="AD65" s="370"/>
      <c r="AE65" s="370"/>
      <c r="AF65" s="370"/>
      <c r="AG65" s="370"/>
      <c r="AH65" s="370"/>
      <c r="AI65" s="370"/>
      <c r="AJ65" s="366"/>
      <c r="AK65" s="366"/>
      <c r="AL65" s="360"/>
      <c r="AM65" s="305"/>
      <c r="AN65" s="305"/>
      <c r="AO65" s="305"/>
      <c r="AP65" s="305"/>
      <c r="AQ65" s="305"/>
      <c r="AR65" s="305"/>
      <c r="AS65" s="305"/>
      <c r="AT65" s="305"/>
      <c r="AU65" s="305"/>
      <c r="AV65" s="305"/>
    </row>
    <row r="66" spans="1:48" s="306" customFormat="1" ht="39" hidden="1">
      <c r="A66" s="308" t="s">
        <v>262</v>
      </c>
      <c r="B66" s="304" t="s">
        <v>561</v>
      </c>
      <c r="C66" s="283" t="s">
        <v>797</v>
      </c>
      <c r="D66" s="284"/>
      <c r="E66" s="284"/>
      <c r="F66" s="284"/>
      <c r="G66" s="284"/>
      <c r="H66" s="284"/>
      <c r="I66" s="284"/>
      <c r="J66" s="366">
        <v>1.5</v>
      </c>
      <c r="K66" s="370">
        <f t="shared" si="6"/>
        <v>1.9148936170212769</v>
      </c>
      <c r="L66" s="371">
        <v>27</v>
      </c>
      <c r="M66" s="371">
        <v>26.65</v>
      </c>
      <c r="N66" s="366">
        <f t="shared" si="2"/>
        <v>1.5</v>
      </c>
      <c r="O66" s="370">
        <f t="shared" si="3"/>
        <v>3.7801418439716317</v>
      </c>
      <c r="P66" s="370">
        <f t="shared" si="4"/>
        <v>26.65</v>
      </c>
      <c r="Q66" s="366">
        <f t="shared" si="7"/>
        <v>1.5</v>
      </c>
      <c r="R66" s="370">
        <f t="shared" si="0"/>
        <v>3.7801418439716317</v>
      </c>
      <c r="S66" s="366">
        <f t="shared" si="8"/>
        <v>100</v>
      </c>
      <c r="T66" s="366">
        <v>26.6</v>
      </c>
      <c r="U66" s="370">
        <f t="shared" si="5"/>
        <v>99.812382739212012</v>
      </c>
      <c r="V66" s="370"/>
      <c r="W66" s="372"/>
      <c r="X66" s="370"/>
      <c r="Y66" s="370"/>
      <c r="Z66" s="370"/>
      <c r="AA66" s="370"/>
      <c r="AB66" s="370"/>
      <c r="AC66" s="370"/>
      <c r="AD66" s="370"/>
      <c r="AE66" s="370"/>
      <c r="AF66" s="370"/>
      <c r="AG66" s="370"/>
      <c r="AH66" s="370"/>
      <c r="AI66" s="370"/>
      <c r="AJ66" s="366"/>
      <c r="AK66" s="366"/>
      <c r="AL66" s="360"/>
      <c r="AM66" s="305" t="s">
        <v>823</v>
      </c>
      <c r="AN66" s="305"/>
      <c r="AO66" s="305"/>
      <c r="AP66" s="305"/>
      <c r="AQ66" s="305"/>
      <c r="AR66" s="305"/>
      <c r="AS66" s="305"/>
      <c r="AT66" s="305"/>
      <c r="AU66" s="305"/>
      <c r="AV66" s="305"/>
    </row>
    <row r="67" spans="1:48" s="306" customFormat="1" ht="40.5" hidden="1">
      <c r="A67" s="308" t="s">
        <v>263</v>
      </c>
      <c r="B67" s="353" t="s">
        <v>674</v>
      </c>
      <c r="C67" s="283" t="s">
        <v>797</v>
      </c>
      <c r="D67" s="284"/>
      <c r="E67" s="284"/>
      <c r="F67" s="284"/>
      <c r="G67" s="284"/>
      <c r="H67" s="284"/>
      <c r="I67" s="284"/>
      <c r="J67" s="366">
        <v>5</v>
      </c>
      <c r="K67" s="370">
        <f t="shared" si="6"/>
        <v>7.0921985815602856E-2</v>
      </c>
      <c r="L67" s="371">
        <v>1</v>
      </c>
      <c r="M67" s="371">
        <v>0</v>
      </c>
      <c r="N67" s="366">
        <f t="shared" si="2"/>
        <v>5</v>
      </c>
      <c r="O67" s="370">
        <f t="shared" si="3"/>
        <v>0</v>
      </c>
      <c r="P67" s="370">
        <f t="shared" si="4"/>
        <v>0</v>
      </c>
      <c r="Q67" s="366">
        <f t="shared" si="7"/>
        <v>5</v>
      </c>
      <c r="R67" s="370">
        <f t="shared" si="0"/>
        <v>0</v>
      </c>
      <c r="S67" s="366">
        <f t="shared" si="8"/>
        <v>0</v>
      </c>
      <c r="T67" s="366">
        <v>0</v>
      </c>
      <c r="U67" s="370">
        <f t="shared" si="5"/>
        <v>0</v>
      </c>
      <c r="V67" s="370"/>
      <c r="W67" s="372"/>
      <c r="X67" s="370"/>
      <c r="Y67" s="370"/>
      <c r="Z67" s="370"/>
      <c r="AA67" s="370"/>
      <c r="AB67" s="370"/>
      <c r="AC67" s="370"/>
      <c r="AD67" s="370"/>
      <c r="AE67" s="370"/>
      <c r="AF67" s="370"/>
      <c r="AG67" s="370"/>
      <c r="AH67" s="370"/>
      <c r="AI67" s="370"/>
      <c r="AJ67" s="366"/>
      <c r="AK67" s="366"/>
      <c r="AL67" s="360"/>
      <c r="AM67" s="305" t="s">
        <v>823</v>
      </c>
      <c r="AN67" s="305"/>
      <c r="AO67" s="305"/>
      <c r="AP67" s="305"/>
      <c r="AQ67" s="305"/>
      <c r="AR67" s="305"/>
      <c r="AS67" s="305"/>
      <c r="AT67" s="305"/>
      <c r="AU67" s="305"/>
      <c r="AV67" s="305"/>
    </row>
    <row r="68" spans="1:48" s="306" customFormat="1" ht="40.5" hidden="1">
      <c r="A68" s="308" t="s">
        <v>566</v>
      </c>
      <c r="B68" s="353" t="s">
        <v>675</v>
      </c>
      <c r="C68" s="283" t="s">
        <v>797</v>
      </c>
      <c r="D68" s="284"/>
      <c r="E68" s="284"/>
      <c r="F68" s="284"/>
      <c r="G68" s="284"/>
      <c r="H68" s="284"/>
      <c r="I68" s="284"/>
      <c r="J68" s="366">
        <v>0.5</v>
      </c>
      <c r="K68" s="370">
        <f t="shared" si="6"/>
        <v>7.0921985815602856E-2</v>
      </c>
      <c r="L68" s="371">
        <v>1</v>
      </c>
      <c r="M68" s="371">
        <v>0</v>
      </c>
      <c r="N68" s="366">
        <f t="shared" si="2"/>
        <v>0.5</v>
      </c>
      <c r="O68" s="370">
        <f t="shared" si="3"/>
        <v>0</v>
      </c>
      <c r="P68" s="370">
        <f t="shared" si="4"/>
        <v>0</v>
      </c>
      <c r="Q68" s="366">
        <f t="shared" si="7"/>
        <v>0.5</v>
      </c>
      <c r="R68" s="370">
        <f t="shared" si="0"/>
        <v>0</v>
      </c>
      <c r="S68" s="366">
        <f t="shared" si="8"/>
        <v>0</v>
      </c>
      <c r="T68" s="366">
        <v>0</v>
      </c>
      <c r="U68" s="370">
        <f t="shared" si="5"/>
        <v>0</v>
      </c>
      <c r="V68" s="370"/>
      <c r="W68" s="372"/>
      <c r="X68" s="370"/>
      <c r="Y68" s="370"/>
      <c r="Z68" s="370"/>
      <c r="AA68" s="370"/>
      <c r="AB68" s="370"/>
      <c r="AC68" s="370"/>
      <c r="AD68" s="370"/>
      <c r="AE68" s="370"/>
      <c r="AF68" s="370"/>
      <c r="AG68" s="370"/>
      <c r="AH68" s="370"/>
      <c r="AI68" s="370"/>
      <c r="AJ68" s="366"/>
      <c r="AK68" s="366"/>
      <c r="AL68" s="360"/>
      <c r="AM68" s="305" t="s">
        <v>823</v>
      </c>
      <c r="AN68" s="305"/>
      <c r="AO68" s="305"/>
      <c r="AP68" s="305"/>
      <c r="AQ68" s="305"/>
      <c r="AR68" s="305"/>
      <c r="AS68" s="305"/>
      <c r="AT68" s="305"/>
      <c r="AU68" s="305"/>
      <c r="AV68" s="305"/>
    </row>
    <row r="69" spans="1:48" s="306" customFormat="1" ht="60" hidden="1">
      <c r="A69" s="308" t="s">
        <v>271</v>
      </c>
      <c r="B69" s="353" t="s">
        <v>676</v>
      </c>
      <c r="C69" s="283" t="s">
        <v>797</v>
      </c>
      <c r="D69" s="284"/>
      <c r="E69" s="284"/>
      <c r="F69" s="284"/>
      <c r="G69" s="284"/>
      <c r="H69" s="284"/>
      <c r="I69" s="284"/>
      <c r="J69" s="366">
        <v>5</v>
      </c>
      <c r="K69" s="370">
        <f t="shared" si="6"/>
        <v>5.3191489361702136</v>
      </c>
      <c r="L69" s="371">
        <v>75</v>
      </c>
      <c r="M69" s="371">
        <v>0</v>
      </c>
      <c r="N69" s="366">
        <f t="shared" si="2"/>
        <v>5</v>
      </c>
      <c r="O69" s="370">
        <f t="shared" si="3"/>
        <v>0</v>
      </c>
      <c r="P69" s="370">
        <f t="shared" si="4"/>
        <v>0</v>
      </c>
      <c r="Q69" s="366">
        <f t="shared" si="7"/>
        <v>5</v>
      </c>
      <c r="R69" s="370">
        <f t="shared" si="0"/>
        <v>0</v>
      </c>
      <c r="S69" s="366">
        <f t="shared" si="8"/>
        <v>0</v>
      </c>
      <c r="T69" s="366">
        <v>0</v>
      </c>
      <c r="U69" s="370">
        <f t="shared" si="5"/>
        <v>0</v>
      </c>
      <c r="V69" s="370"/>
      <c r="W69" s="372"/>
      <c r="X69" s="370"/>
      <c r="Y69" s="370"/>
      <c r="Z69" s="370"/>
      <c r="AA69" s="370"/>
      <c r="AB69" s="370"/>
      <c r="AC69" s="370"/>
      <c r="AD69" s="370"/>
      <c r="AE69" s="370"/>
      <c r="AF69" s="370"/>
      <c r="AG69" s="370"/>
      <c r="AH69" s="370"/>
      <c r="AI69" s="370"/>
      <c r="AJ69" s="366"/>
      <c r="AK69" s="366"/>
      <c r="AL69" s="360"/>
      <c r="AM69" s="305" t="s">
        <v>823</v>
      </c>
      <c r="AN69" s="305"/>
      <c r="AO69" s="305"/>
      <c r="AP69" s="305"/>
      <c r="AQ69" s="305"/>
      <c r="AR69" s="305"/>
      <c r="AS69" s="305"/>
      <c r="AT69" s="305"/>
      <c r="AU69" s="305"/>
      <c r="AV69" s="305"/>
    </row>
    <row r="70" spans="1:48" s="306" customFormat="1" ht="58.5" hidden="1">
      <c r="A70" s="308" t="s">
        <v>273</v>
      </c>
      <c r="B70" s="354" t="s">
        <v>677</v>
      </c>
      <c r="C70" s="283" t="s">
        <v>797</v>
      </c>
      <c r="D70" s="284"/>
      <c r="E70" s="284"/>
      <c r="F70" s="284"/>
      <c r="G70" s="284"/>
      <c r="H70" s="284"/>
      <c r="I70" s="284"/>
      <c r="J70" s="366">
        <v>1.5</v>
      </c>
      <c r="K70" s="370">
        <f t="shared" si="6"/>
        <v>0.85106382978723427</v>
      </c>
      <c r="L70" s="371">
        <v>12</v>
      </c>
      <c r="M70" s="371">
        <v>0</v>
      </c>
      <c r="N70" s="366">
        <f t="shared" si="2"/>
        <v>1.5</v>
      </c>
      <c r="O70" s="370">
        <f t="shared" si="3"/>
        <v>0</v>
      </c>
      <c r="P70" s="370">
        <f t="shared" si="4"/>
        <v>0</v>
      </c>
      <c r="Q70" s="366">
        <f t="shared" si="7"/>
        <v>1.5</v>
      </c>
      <c r="R70" s="370">
        <f t="shared" si="0"/>
        <v>0</v>
      </c>
      <c r="S70" s="366">
        <f t="shared" si="8"/>
        <v>0</v>
      </c>
      <c r="T70" s="366">
        <v>0</v>
      </c>
      <c r="U70" s="370">
        <f t="shared" si="5"/>
        <v>0</v>
      </c>
      <c r="V70" s="370"/>
      <c r="W70" s="372"/>
      <c r="X70" s="370"/>
      <c r="Y70" s="370"/>
      <c r="Z70" s="370"/>
      <c r="AA70" s="370"/>
      <c r="AB70" s="370"/>
      <c r="AC70" s="370"/>
      <c r="AD70" s="370"/>
      <c r="AE70" s="370"/>
      <c r="AF70" s="370"/>
      <c r="AG70" s="370"/>
      <c r="AH70" s="370"/>
      <c r="AI70" s="370"/>
      <c r="AJ70" s="366"/>
      <c r="AK70" s="366"/>
      <c r="AL70" s="360"/>
      <c r="AM70" s="305" t="s">
        <v>823</v>
      </c>
      <c r="AN70" s="305"/>
      <c r="AO70" s="305"/>
      <c r="AP70" s="305"/>
      <c r="AQ70" s="305"/>
      <c r="AR70" s="305"/>
      <c r="AS70" s="305"/>
      <c r="AT70" s="305"/>
      <c r="AU70" s="305"/>
      <c r="AV70" s="305"/>
    </row>
    <row r="71" spans="1:48" s="306" customFormat="1" ht="60" hidden="1">
      <c r="A71" s="308" t="s">
        <v>678</v>
      </c>
      <c r="B71" s="353" t="s">
        <v>679</v>
      </c>
      <c r="C71" s="283" t="s">
        <v>797</v>
      </c>
      <c r="D71" s="284"/>
      <c r="E71" s="284"/>
      <c r="F71" s="284"/>
      <c r="G71" s="284"/>
      <c r="H71" s="284"/>
      <c r="I71" s="284"/>
      <c r="J71" s="366">
        <v>1</v>
      </c>
      <c r="K71" s="370">
        <f t="shared" si="6"/>
        <v>7.0921985815602856E-2</v>
      </c>
      <c r="L71" s="371">
        <v>1</v>
      </c>
      <c r="M71" s="371">
        <v>0</v>
      </c>
      <c r="N71" s="366">
        <f t="shared" si="2"/>
        <v>1</v>
      </c>
      <c r="O71" s="370">
        <f t="shared" si="3"/>
        <v>0</v>
      </c>
      <c r="P71" s="370">
        <f t="shared" si="4"/>
        <v>0</v>
      </c>
      <c r="Q71" s="366">
        <f t="shared" si="7"/>
        <v>1</v>
      </c>
      <c r="R71" s="370">
        <f t="shared" si="0"/>
        <v>0</v>
      </c>
      <c r="S71" s="366">
        <f t="shared" si="8"/>
        <v>0</v>
      </c>
      <c r="T71" s="366">
        <v>0</v>
      </c>
      <c r="U71" s="370">
        <f t="shared" si="5"/>
        <v>0</v>
      </c>
      <c r="V71" s="370"/>
      <c r="W71" s="372"/>
      <c r="X71" s="370"/>
      <c r="Y71" s="370"/>
      <c r="Z71" s="370"/>
      <c r="AA71" s="370"/>
      <c r="AB71" s="370"/>
      <c r="AC71" s="370"/>
      <c r="AD71" s="370"/>
      <c r="AE71" s="370"/>
      <c r="AF71" s="370"/>
      <c r="AG71" s="370"/>
      <c r="AH71" s="370"/>
      <c r="AI71" s="370"/>
      <c r="AJ71" s="366"/>
      <c r="AK71" s="366"/>
      <c r="AL71" s="360"/>
      <c r="AM71" s="305" t="s">
        <v>823</v>
      </c>
      <c r="AN71" s="305"/>
      <c r="AO71" s="305"/>
      <c r="AP71" s="305"/>
      <c r="AQ71" s="305"/>
      <c r="AR71" s="305"/>
      <c r="AS71" s="305"/>
      <c r="AT71" s="305"/>
      <c r="AU71" s="305"/>
      <c r="AV71" s="305"/>
    </row>
    <row r="72" spans="1:48" s="306" customFormat="1" ht="60" hidden="1">
      <c r="A72" s="308" t="s">
        <v>277</v>
      </c>
      <c r="B72" s="353" t="s">
        <v>680</v>
      </c>
      <c r="C72" s="283" t="s">
        <v>797</v>
      </c>
      <c r="D72" s="284"/>
      <c r="E72" s="284"/>
      <c r="F72" s="284"/>
      <c r="G72" s="284"/>
      <c r="H72" s="284"/>
      <c r="I72" s="284"/>
      <c r="J72" s="366">
        <v>5</v>
      </c>
      <c r="K72" s="370">
        <f t="shared" si="6"/>
        <v>7.0921985815602856E-2</v>
      </c>
      <c r="L72" s="371">
        <v>1</v>
      </c>
      <c r="M72" s="371">
        <v>0</v>
      </c>
      <c r="N72" s="366">
        <f t="shared" si="2"/>
        <v>5</v>
      </c>
      <c r="O72" s="370">
        <f t="shared" si="3"/>
        <v>0</v>
      </c>
      <c r="P72" s="370">
        <f t="shared" si="4"/>
        <v>0</v>
      </c>
      <c r="Q72" s="366">
        <f t="shared" si="7"/>
        <v>5</v>
      </c>
      <c r="R72" s="370">
        <f t="shared" si="0"/>
        <v>0</v>
      </c>
      <c r="S72" s="366">
        <f t="shared" si="8"/>
        <v>0</v>
      </c>
      <c r="T72" s="366">
        <v>0</v>
      </c>
      <c r="U72" s="370">
        <f t="shared" si="5"/>
        <v>0</v>
      </c>
      <c r="V72" s="370"/>
      <c r="W72" s="372"/>
      <c r="X72" s="370"/>
      <c r="Y72" s="370"/>
      <c r="Z72" s="370"/>
      <c r="AA72" s="370"/>
      <c r="AB72" s="370"/>
      <c r="AC72" s="370"/>
      <c r="AD72" s="370"/>
      <c r="AE72" s="370"/>
      <c r="AF72" s="370"/>
      <c r="AG72" s="370"/>
      <c r="AH72" s="370"/>
      <c r="AI72" s="370"/>
      <c r="AJ72" s="366"/>
      <c r="AK72" s="366"/>
      <c r="AL72" s="360"/>
      <c r="AM72" s="305" t="s">
        <v>823</v>
      </c>
      <c r="AN72" s="305"/>
      <c r="AO72" s="305"/>
      <c r="AP72" s="305"/>
      <c r="AQ72" s="305"/>
      <c r="AR72" s="305"/>
      <c r="AS72" s="305"/>
      <c r="AT72" s="305"/>
      <c r="AU72" s="305"/>
      <c r="AV72" s="305"/>
    </row>
    <row r="73" spans="1:48" s="306" customFormat="1" ht="34.9" hidden="1" customHeight="1">
      <c r="A73" s="308" t="s">
        <v>279</v>
      </c>
      <c r="B73" s="364" t="s">
        <v>681</v>
      </c>
      <c r="C73" s="283" t="s">
        <v>797</v>
      </c>
      <c r="D73" s="284"/>
      <c r="E73" s="284"/>
      <c r="F73" s="284"/>
      <c r="G73" s="284"/>
      <c r="H73" s="284"/>
      <c r="I73" s="284"/>
      <c r="J73" s="366">
        <v>24.75</v>
      </c>
      <c r="K73" s="370">
        <f t="shared" si="6"/>
        <v>3.5460992907801421</v>
      </c>
      <c r="L73" s="371">
        <v>50</v>
      </c>
      <c r="M73" s="371">
        <v>25</v>
      </c>
      <c r="N73" s="366">
        <f t="shared" si="2"/>
        <v>24.75</v>
      </c>
      <c r="O73" s="370">
        <f t="shared" si="3"/>
        <v>3.5460992907801421</v>
      </c>
      <c r="P73" s="370">
        <f t="shared" si="4"/>
        <v>25</v>
      </c>
      <c r="Q73" s="366">
        <f t="shared" si="7"/>
        <v>24.75</v>
      </c>
      <c r="R73" s="370">
        <f t="shared" si="0"/>
        <v>3.5460992907801421</v>
      </c>
      <c r="S73" s="366">
        <f t="shared" si="8"/>
        <v>100</v>
      </c>
      <c r="T73" s="366">
        <v>25</v>
      </c>
      <c r="U73" s="370">
        <f t="shared" si="5"/>
        <v>100</v>
      </c>
      <c r="V73" s="370"/>
      <c r="W73" s="372"/>
      <c r="X73" s="370"/>
      <c r="Y73" s="370"/>
      <c r="Z73" s="370"/>
      <c r="AA73" s="370"/>
      <c r="AB73" s="370"/>
      <c r="AC73" s="370"/>
      <c r="AD73" s="370"/>
      <c r="AE73" s="370"/>
      <c r="AF73" s="370"/>
      <c r="AG73" s="370"/>
      <c r="AH73" s="370"/>
      <c r="AI73" s="370"/>
      <c r="AJ73" s="366"/>
      <c r="AK73" s="366"/>
      <c r="AL73" s="360"/>
      <c r="AM73" s="305" t="s">
        <v>823</v>
      </c>
      <c r="AN73" s="305"/>
      <c r="AO73" s="305"/>
      <c r="AP73" s="305"/>
      <c r="AQ73" s="305"/>
      <c r="AR73" s="305"/>
      <c r="AS73" s="305"/>
      <c r="AT73" s="305"/>
      <c r="AU73" s="305"/>
      <c r="AV73" s="305"/>
    </row>
    <row r="74" spans="1:48" s="306" customFormat="1" ht="58.5" hidden="1">
      <c r="A74" s="308" t="s">
        <v>281</v>
      </c>
      <c r="B74" s="354" t="s">
        <v>807</v>
      </c>
      <c r="C74" s="283" t="s">
        <v>797</v>
      </c>
      <c r="D74" s="284"/>
      <c r="E74" s="284"/>
      <c r="F74" s="284"/>
      <c r="G74" s="284"/>
      <c r="H74" s="284"/>
      <c r="I74" s="284"/>
      <c r="J74" s="366">
        <v>3</v>
      </c>
      <c r="K74" s="370">
        <f t="shared" si="6"/>
        <v>0.85106382978723427</v>
      </c>
      <c r="L74" s="371">
        <v>12</v>
      </c>
      <c r="M74" s="371">
        <v>6</v>
      </c>
      <c r="N74" s="366">
        <f t="shared" si="2"/>
        <v>3</v>
      </c>
      <c r="O74" s="370">
        <f t="shared" si="3"/>
        <v>0.85106382978723427</v>
      </c>
      <c r="P74" s="370">
        <f t="shared" si="4"/>
        <v>6</v>
      </c>
      <c r="Q74" s="366">
        <f t="shared" si="7"/>
        <v>3</v>
      </c>
      <c r="R74" s="370">
        <f t="shared" si="0"/>
        <v>0.85106382978723427</v>
      </c>
      <c r="S74" s="366">
        <f t="shared" si="8"/>
        <v>100</v>
      </c>
      <c r="T74" s="366">
        <v>5.74</v>
      </c>
      <c r="U74" s="370">
        <f t="shared" si="5"/>
        <v>95.666666666666671</v>
      </c>
      <c r="V74" s="370"/>
      <c r="W74" s="372"/>
      <c r="X74" s="370"/>
      <c r="Y74" s="370"/>
      <c r="Z74" s="370"/>
      <c r="AA74" s="370"/>
      <c r="AB74" s="370"/>
      <c r="AC74" s="370"/>
      <c r="AD74" s="370"/>
      <c r="AE74" s="370"/>
      <c r="AF74" s="370"/>
      <c r="AG74" s="370"/>
      <c r="AH74" s="370"/>
      <c r="AI74" s="370"/>
      <c r="AJ74" s="366"/>
      <c r="AK74" s="366"/>
      <c r="AL74" s="360"/>
      <c r="AM74" s="305" t="s">
        <v>823</v>
      </c>
      <c r="AN74" s="305"/>
      <c r="AO74" s="305"/>
      <c r="AP74" s="305"/>
      <c r="AQ74" s="305"/>
      <c r="AR74" s="305"/>
      <c r="AS74" s="305"/>
      <c r="AT74" s="305"/>
      <c r="AU74" s="305"/>
      <c r="AV74" s="305"/>
    </row>
    <row r="75" spans="1:48" s="306" customFormat="1" ht="39" hidden="1">
      <c r="A75" s="308" t="s">
        <v>285</v>
      </c>
      <c r="B75" s="354" t="s">
        <v>683</v>
      </c>
      <c r="C75" s="283" t="s">
        <v>797</v>
      </c>
      <c r="D75" s="284"/>
      <c r="E75" s="284"/>
      <c r="F75" s="284"/>
      <c r="G75" s="284"/>
      <c r="H75" s="284"/>
      <c r="I75" s="284"/>
      <c r="J75" s="366">
        <v>2</v>
      </c>
      <c r="K75" s="370">
        <f t="shared" si="6"/>
        <v>0.35460992907801425</v>
      </c>
      <c r="L75" s="371">
        <v>5</v>
      </c>
      <c r="M75" s="371">
        <v>2.5</v>
      </c>
      <c r="N75" s="366">
        <f t="shared" si="2"/>
        <v>2</v>
      </c>
      <c r="O75" s="370">
        <f t="shared" si="3"/>
        <v>0.35460992907801425</v>
      </c>
      <c r="P75" s="370">
        <f t="shared" si="4"/>
        <v>2.5</v>
      </c>
      <c r="Q75" s="366">
        <f t="shared" si="7"/>
        <v>2</v>
      </c>
      <c r="R75" s="370">
        <f t="shared" si="0"/>
        <v>0.35460992907801425</v>
      </c>
      <c r="S75" s="366">
        <f t="shared" si="8"/>
        <v>100</v>
      </c>
      <c r="T75" s="366">
        <v>2.48</v>
      </c>
      <c r="U75" s="370">
        <f t="shared" si="5"/>
        <v>99.2</v>
      </c>
      <c r="V75" s="370"/>
      <c r="W75" s="372"/>
      <c r="X75" s="370"/>
      <c r="Y75" s="370"/>
      <c r="Z75" s="370"/>
      <c r="AA75" s="370"/>
      <c r="AB75" s="370"/>
      <c r="AC75" s="370"/>
      <c r="AD75" s="370"/>
      <c r="AE75" s="370"/>
      <c r="AF75" s="370"/>
      <c r="AG75" s="370"/>
      <c r="AH75" s="370"/>
      <c r="AI75" s="370"/>
      <c r="AJ75" s="366"/>
      <c r="AK75" s="366"/>
      <c r="AL75" s="360"/>
      <c r="AM75" s="305" t="s">
        <v>823</v>
      </c>
      <c r="AN75" s="305"/>
      <c r="AO75" s="305"/>
      <c r="AP75" s="305"/>
      <c r="AQ75" s="305"/>
      <c r="AR75" s="305"/>
      <c r="AS75" s="305"/>
      <c r="AT75" s="305"/>
      <c r="AU75" s="305"/>
      <c r="AV75" s="305"/>
    </row>
    <row r="76" spans="1:48" s="306" customFormat="1" ht="40.5" hidden="1">
      <c r="A76" s="308" t="s">
        <v>287</v>
      </c>
      <c r="B76" s="353" t="s">
        <v>684</v>
      </c>
      <c r="C76" s="283" t="s">
        <v>797</v>
      </c>
      <c r="D76" s="284"/>
      <c r="E76" s="284"/>
      <c r="F76" s="284"/>
      <c r="G76" s="284"/>
      <c r="H76" s="284"/>
      <c r="I76" s="284"/>
      <c r="J76" s="366">
        <v>3</v>
      </c>
      <c r="K76" s="370">
        <f t="shared" si="6"/>
        <v>0.31914893617021284</v>
      </c>
      <c r="L76" s="371">
        <v>4.5</v>
      </c>
      <c r="M76" s="371">
        <v>0</v>
      </c>
      <c r="N76" s="366">
        <f t="shared" si="2"/>
        <v>3</v>
      </c>
      <c r="O76" s="370">
        <f t="shared" si="3"/>
        <v>0</v>
      </c>
      <c r="P76" s="370">
        <f t="shared" si="4"/>
        <v>0</v>
      </c>
      <c r="Q76" s="366">
        <f t="shared" si="7"/>
        <v>3</v>
      </c>
      <c r="R76" s="370">
        <f t="shared" si="0"/>
        <v>0</v>
      </c>
      <c r="S76" s="366">
        <f t="shared" si="8"/>
        <v>0</v>
      </c>
      <c r="T76" s="366">
        <v>0</v>
      </c>
      <c r="U76" s="370">
        <f t="shared" si="5"/>
        <v>0</v>
      </c>
      <c r="V76" s="370"/>
      <c r="W76" s="372"/>
      <c r="X76" s="370"/>
      <c r="Y76" s="370"/>
      <c r="Z76" s="370"/>
      <c r="AA76" s="370"/>
      <c r="AB76" s="370"/>
      <c r="AC76" s="370"/>
      <c r="AD76" s="370"/>
      <c r="AE76" s="370"/>
      <c r="AF76" s="370"/>
      <c r="AG76" s="370"/>
      <c r="AH76" s="370"/>
      <c r="AI76" s="370"/>
      <c r="AJ76" s="366"/>
      <c r="AK76" s="366"/>
      <c r="AL76" s="360"/>
      <c r="AM76" s="305" t="s">
        <v>823</v>
      </c>
      <c r="AN76" s="305"/>
      <c r="AO76" s="305"/>
      <c r="AP76" s="305"/>
      <c r="AQ76" s="305"/>
      <c r="AR76" s="305"/>
      <c r="AS76" s="305"/>
      <c r="AT76" s="305"/>
      <c r="AU76" s="305"/>
      <c r="AV76" s="305"/>
    </row>
    <row r="77" spans="1:48" s="306" customFormat="1" ht="58.5" hidden="1">
      <c r="A77" s="308" t="s">
        <v>289</v>
      </c>
      <c r="B77" s="355" t="s">
        <v>685</v>
      </c>
      <c r="C77" s="283" t="s">
        <v>797</v>
      </c>
      <c r="D77" s="284"/>
      <c r="E77" s="284"/>
      <c r="F77" s="284"/>
      <c r="G77" s="284"/>
      <c r="H77" s="284"/>
      <c r="I77" s="284"/>
      <c r="J77" s="366">
        <v>3</v>
      </c>
      <c r="K77" s="370">
        <f t="shared" si="6"/>
        <v>0.31914893617021284</v>
      </c>
      <c r="L77" s="371">
        <v>4.5</v>
      </c>
      <c r="M77" s="371">
        <v>4.5</v>
      </c>
      <c r="N77" s="366">
        <f t="shared" si="2"/>
        <v>3</v>
      </c>
      <c r="O77" s="370">
        <f t="shared" si="3"/>
        <v>0.63829787234042568</v>
      </c>
      <c r="P77" s="370">
        <f t="shared" si="4"/>
        <v>4.5</v>
      </c>
      <c r="Q77" s="366">
        <f t="shared" si="7"/>
        <v>3</v>
      </c>
      <c r="R77" s="370">
        <f t="shared" si="0"/>
        <v>0.63829787234042568</v>
      </c>
      <c r="S77" s="366">
        <f t="shared" si="8"/>
        <v>100</v>
      </c>
      <c r="T77" s="366">
        <v>4.4800000000000004</v>
      </c>
      <c r="U77" s="370">
        <f t="shared" si="5"/>
        <v>99.555555555555557</v>
      </c>
      <c r="V77" s="370"/>
      <c r="W77" s="372"/>
      <c r="X77" s="370"/>
      <c r="Y77" s="370"/>
      <c r="Z77" s="370"/>
      <c r="AA77" s="370"/>
      <c r="AB77" s="370"/>
      <c r="AC77" s="370"/>
      <c r="AD77" s="370"/>
      <c r="AE77" s="370"/>
      <c r="AF77" s="370"/>
      <c r="AG77" s="370"/>
      <c r="AH77" s="370"/>
      <c r="AI77" s="370"/>
      <c r="AJ77" s="366"/>
      <c r="AK77" s="366"/>
      <c r="AL77" s="360"/>
      <c r="AM77" s="305" t="s">
        <v>823</v>
      </c>
      <c r="AN77" s="305"/>
      <c r="AO77" s="305"/>
      <c r="AP77" s="305"/>
      <c r="AQ77" s="305"/>
      <c r="AR77" s="305"/>
      <c r="AS77" s="305"/>
      <c r="AT77" s="305"/>
      <c r="AU77" s="305"/>
      <c r="AV77" s="305"/>
    </row>
    <row r="78" spans="1:48" s="306" customFormat="1" ht="33.6" hidden="1" customHeight="1">
      <c r="A78" s="308" t="s">
        <v>598</v>
      </c>
      <c r="B78" s="365" t="s">
        <v>686</v>
      </c>
      <c r="C78" s="340" t="s">
        <v>794</v>
      </c>
      <c r="D78" s="284"/>
      <c r="E78" s="284"/>
      <c r="F78" s="284"/>
      <c r="G78" s="284"/>
      <c r="H78" s="284"/>
      <c r="I78" s="284"/>
      <c r="J78" s="366">
        <v>3.6</v>
      </c>
      <c r="K78" s="370">
        <f t="shared" si="6"/>
        <v>0.7092198581560285</v>
      </c>
      <c r="L78" s="371">
        <v>10</v>
      </c>
      <c r="M78" s="371">
        <v>9.5</v>
      </c>
      <c r="N78" s="366">
        <f t="shared" si="2"/>
        <v>3.6</v>
      </c>
      <c r="O78" s="370">
        <f t="shared" si="3"/>
        <v>1.3475177304964541</v>
      </c>
      <c r="P78" s="370">
        <f t="shared" si="4"/>
        <v>9.5</v>
      </c>
      <c r="Q78" s="366">
        <f t="shared" si="7"/>
        <v>3.6</v>
      </c>
      <c r="R78" s="370">
        <f t="shared" si="0"/>
        <v>1.3475177304964541</v>
      </c>
      <c r="S78" s="366">
        <f t="shared" si="8"/>
        <v>100</v>
      </c>
      <c r="T78" s="366">
        <v>9.4499999999999993</v>
      </c>
      <c r="U78" s="370">
        <f t="shared" si="5"/>
        <v>99.473684210526301</v>
      </c>
      <c r="V78" s="370"/>
      <c r="W78" s="372"/>
      <c r="X78" s="370"/>
      <c r="Y78" s="370"/>
      <c r="Z78" s="370"/>
      <c r="AA78" s="370"/>
      <c r="AB78" s="370"/>
      <c r="AC78" s="370"/>
      <c r="AD78" s="370"/>
      <c r="AE78" s="370"/>
      <c r="AF78" s="370"/>
      <c r="AG78" s="370"/>
      <c r="AH78" s="370"/>
      <c r="AI78" s="370"/>
      <c r="AJ78" s="366"/>
      <c r="AK78" s="366"/>
      <c r="AL78" s="360"/>
      <c r="AM78" s="305" t="s">
        <v>823</v>
      </c>
      <c r="AN78" s="305"/>
      <c r="AO78" s="305"/>
      <c r="AP78" s="305"/>
      <c r="AQ78" s="305"/>
      <c r="AR78" s="305"/>
      <c r="AS78" s="305"/>
      <c r="AT78" s="305"/>
      <c r="AU78" s="305"/>
      <c r="AV78" s="305"/>
    </row>
    <row r="79" spans="1:48" s="306" customFormat="1" ht="40.5" hidden="1">
      <c r="A79" s="308" t="s">
        <v>291</v>
      </c>
      <c r="B79" s="353" t="s">
        <v>687</v>
      </c>
      <c r="C79" s="341" t="s">
        <v>797</v>
      </c>
      <c r="D79" s="284"/>
      <c r="E79" s="284"/>
      <c r="F79" s="284"/>
      <c r="G79" s="284"/>
      <c r="H79" s="284"/>
      <c r="I79" s="284"/>
      <c r="J79" s="366">
        <v>5</v>
      </c>
      <c r="K79" s="370">
        <f t="shared" si="6"/>
        <v>0.35460992907801425</v>
      </c>
      <c r="L79" s="371">
        <v>5</v>
      </c>
      <c r="M79" s="371">
        <v>0</v>
      </c>
      <c r="N79" s="366">
        <f t="shared" si="2"/>
        <v>5</v>
      </c>
      <c r="O79" s="370">
        <f t="shared" si="3"/>
        <v>0</v>
      </c>
      <c r="P79" s="370">
        <f t="shared" si="4"/>
        <v>0</v>
      </c>
      <c r="Q79" s="366">
        <f t="shared" si="7"/>
        <v>5</v>
      </c>
      <c r="R79" s="370">
        <f t="shared" si="0"/>
        <v>0</v>
      </c>
      <c r="S79" s="366">
        <f t="shared" si="8"/>
        <v>0</v>
      </c>
      <c r="T79" s="366">
        <v>0</v>
      </c>
      <c r="U79" s="370">
        <f t="shared" si="5"/>
        <v>0</v>
      </c>
      <c r="V79" s="370"/>
      <c r="W79" s="372"/>
      <c r="X79" s="370"/>
      <c r="Y79" s="370"/>
      <c r="Z79" s="370"/>
      <c r="AA79" s="370"/>
      <c r="AB79" s="370"/>
      <c r="AC79" s="370"/>
      <c r="AD79" s="370"/>
      <c r="AE79" s="370"/>
      <c r="AF79" s="370"/>
      <c r="AG79" s="370"/>
      <c r="AH79" s="370"/>
      <c r="AI79" s="370"/>
      <c r="AJ79" s="366"/>
      <c r="AK79" s="366"/>
      <c r="AL79" s="360"/>
      <c r="AM79" s="305" t="s">
        <v>823</v>
      </c>
      <c r="AN79" s="305"/>
      <c r="AO79" s="305"/>
      <c r="AP79" s="305"/>
      <c r="AQ79" s="305"/>
      <c r="AR79" s="305"/>
      <c r="AS79" s="305"/>
      <c r="AT79" s="305"/>
      <c r="AU79" s="305"/>
      <c r="AV79" s="305"/>
    </row>
    <row r="80" spans="1:48" s="306" customFormat="1" ht="40.5" hidden="1">
      <c r="A80" s="308" t="s">
        <v>293</v>
      </c>
      <c r="B80" s="353" t="s">
        <v>688</v>
      </c>
      <c r="C80" s="341" t="s">
        <v>797</v>
      </c>
      <c r="D80" s="284"/>
      <c r="E80" s="284"/>
      <c r="F80" s="284"/>
      <c r="G80" s="284"/>
      <c r="H80" s="284"/>
      <c r="I80" s="284"/>
      <c r="J80" s="366">
        <v>3</v>
      </c>
      <c r="K80" s="370">
        <f t="shared" si="6"/>
        <v>0.31914893617021284</v>
      </c>
      <c r="L80" s="371">
        <v>4.5</v>
      </c>
      <c r="M80" s="371">
        <v>0</v>
      </c>
      <c r="N80" s="366">
        <f t="shared" si="2"/>
        <v>3</v>
      </c>
      <c r="O80" s="370">
        <f t="shared" si="3"/>
        <v>0</v>
      </c>
      <c r="P80" s="370">
        <f t="shared" si="4"/>
        <v>0</v>
      </c>
      <c r="Q80" s="366">
        <f t="shared" si="7"/>
        <v>3</v>
      </c>
      <c r="R80" s="370">
        <f t="shared" si="0"/>
        <v>0</v>
      </c>
      <c r="S80" s="366">
        <f t="shared" si="8"/>
        <v>0</v>
      </c>
      <c r="T80" s="366">
        <v>0</v>
      </c>
      <c r="U80" s="370">
        <f t="shared" si="5"/>
        <v>0</v>
      </c>
      <c r="V80" s="370"/>
      <c r="W80" s="372"/>
      <c r="X80" s="370"/>
      <c r="Y80" s="370"/>
      <c r="Z80" s="370"/>
      <c r="AA80" s="370"/>
      <c r="AB80" s="370"/>
      <c r="AC80" s="370"/>
      <c r="AD80" s="370"/>
      <c r="AE80" s="370"/>
      <c r="AF80" s="370"/>
      <c r="AG80" s="370"/>
      <c r="AH80" s="370"/>
      <c r="AI80" s="370"/>
      <c r="AJ80" s="366"/>
      <c r="AK80" s="366"/>
      <c r="AL80" s="360"/>
      <c r="AM80" s="305" t="s">
        <v>823</v>
      </c>
      <c r="AN80" s="305"/>
      <c r="AO80" s="305"/>
      <c r="AP80" s="305"/>
      <c r="AQ80" s="305"/>
      <c r="AR80" s="305"/>
      <c r="AS80" s="305"/>
      <c r="AT80" s="305"/>
      <c r="AU80" s="305"/>
      <c r="AV80" s="305"/>
    </row>
    <row r="81" spans="1:48" s="306" customFormat="1" ht="40.5" hidden="1">
      <c r="A81" s="308" t="s">
        <v>297</v>
      </c>
      <c r="B81" s="353" t="s">
        <v>689</v>
      </c>
      <c r="C81" s="341" t="s">
        <v>797</v>
      </c>
      <c r="D81" s="284"/>
      <c r="E81" s="284"/>
      <c r="F81" s="284"/>
      <c r="G81" s="284"/>
      <c r="H81" s="284"/>
      <c r="I81" s="284"/>
      <c r="J81" s="366">
        <v>7.5</v>
      </c>
      <c r="K81" s="370">
        <f t="shared" si="6"/>
        <v>1.0638297872340428</v>
      </c>
      <c r="L81" s="371">
        <v>15</v>
      </c>
      <c r="M81" s="371">
        <v>0</v>
      </c>
      <c r="N81" s="366">
        <f t="shared" si="2"/>
        <v>7.5</v>
      </c>
      <c r="O81" s="370">
        <f t="shared" si="3"/>
        <v>0</v>
      </c>
      <c r="P81" s="370">
        <f t="shared" si="4"/>
        <v>0</v>
      </c>
      <c r="Q81" s="366">
        <f t="shared" si="7"/>
        <v>7.5</v>
      </c>
      <c r="R81" s="370">
        <f t="shared" si="0"/>
        <v>0</v>
      </c>
      <c r="S81" s="366">
        <f t="shared" si="8"/>
        <v>0</v>
      </c>
      <c r="T81" s="366">
        <v>0</v>
      </c>
      <c r="U81" s="370">
        <f t="shared" si="5"/>
        <v>0</v>
      </c>
      <c r="V81" s="370"/>
      <c r="W81" s="372"/>
      <c r="X81" s="370"/>
      <c r="Y81" s="370"/>
      <c r="Z81" s="370"/>
      <c r="AA81" s="370"/>
      <c r="AB81" s="370"/>
      <c r="AC81" s="370"/>
      <c r="AD81" s="370"/>
      <c r="AE81" s="370"/>
      <c r="AF81" s="370"/>
      <c r="AG81" s="370"/>
      <c r="AH81" s="370"/>
      <c r="AI81" s="370"/>
      <c r="AJ81" s="366"/>
      <c r="AK81" s="366"/>
      <c r="AL81" s="360"/>
      <c r="AM81" s="305" t="s">
        <v>823</v>
      </c>
      <c r="AN81" s="305"/>
      <c r="AO81" s="305"/>
      <c r="AP81" s="305"/>
      <c r="AQ81" s="305"/>
      <c r="AR81" s="305"/>
      <c r="AS81" s="305"/>
      <c r="AT81" s="305"/>
      <c r="AU81" s="305"/>
      <c r="AV81" s="305"/>
    </row>
    <row r="82" spans="1:48" s="306" customFormat="1" ht="40.5" hidden="1">
      <c r="A82" s="308" t="s">
        <v>299</v>
      </c>
      <c r="B82" s="353" t="s">
        <v>690</v>
      </c>
      <c r="C82" s="341" t="s">
        <v>797</v>
      </c>
      <c r="D82" s="284"/>
      <c r="E82" s="284"/>
      <c r="F82" s="284"/>
      <c r="G82" s="284"/>
      <c r="H82" s="284"/>
      <c r="I82" s="284"/>
      <c r="J82" s="366">
        <v>1</v>
      </c>
      <c r="K82" s="370">
        <f t="shared" si="6"/>
        <v>0.14184397163120571</v>
      </c>
      <c r="L82" s="371">
        <v>2</v>
      </c>
      <c r="M82" s="371">
        <v>0</v>
      </c>
      <c r="N82" s="366">
        <f t="shared" si="2"/>
        <v>1</v>
      </c>
      <c r="O82" s="370">
        <f t="shared" si="3"/>
        <v>0</v>
      </c>
      <c r="P82" s="370">
        <f t="shared" si="4"/>
        <v>0</v>
      </c>
      <c r="Q82" s="366">
        <f t="shared" si="7"/>
        <v>1</v>
      </c>
      <c r="R82" s="370">
        <f t="shared" si="0"/>
        <v>0</v>
      </c>
      <c r="S82" s="366">
        <f t="shared" si="8"/>
        <v>0</v>
      </c>
      <c r="T82" s="366">
        <v>0</v>
      </c>
      <c r="U82" s="370">
        <f t="shared" si="5"/>
        <v>0</v>
      </c>
      <c r="V82" s="370"/>
      <c r="W82" s="372"/>
      <c r="X82" s="370"/>
      <c r="Y82" s="370"/>
      <c r="Z82" s="370"/>
      <c r="AA82" s="370"/>
      <c r="AB82" s="370"/>
      <c r="AC82" s="370"/>
      <c r="AD82" s="370"/>
      <c r="AE82" s="370"/>
      <c r="AF82" s="370"/>
      <c r="AG82" s="370"/>
      <c r="AH82" s="370"/>
      <c r="AI82" s="370"/>
      <c r="AJ82" s="366"/>
      <c r="AK82" s="366"/>
      <c r="AL82" s="360"/>
      <c r="AM82" s="305" t="s">
        <v>823</v>
      </c>
      <c r="AN82" s="305"/>
      <c r="AO82" s="305"/>
      <c r="AP82" s="305"/>
      <c r="AQ82" s="305"/>
      <c r="AR82" s="305"/>
      <c r="AS82" s="305"/>
      <c r="AT82" s="305"/>
      <c r="AU82" s="305"/>
      <c r="AV82" s="305"/>
    </row>
    <row r="83" spans="1:48" s="306" customFormat="1" ht="39" hidden="1">
      <c r="A83" s="308" t="s">
        <v>301</v>
      </c>
      <c r="B83" s="304" t="s">
        <v>691</v>
      </c>
      <c r="C83" s="341" t="s">
        <v>797</v>
      </c>
      <c r="D83" s="284"/>
      <c r="E83" s="284"/>
      <c r="F83" s="284"/>
      <c r="G83" s="284"/>
      <c r="H83" s="284"/>
      <c r="I83" s="284"/>
      <c r="J83" s="366">
        <v>1</v>
      </c>
      <c r="K83" s="370">
        <f t="shared" si="6"/>
        <v>2.1276595744680855</v>
      </c>
      <c r="L83" s="371">
        <v>30</v>
      </c>
      <c r="M83" s="371">
        <v>0</v>
      </c>
      <c r="N83" s="366">
        <f t="shared" si="2"/>
        <v>1</v>
      </c>
      <c r="O83" s="370">
        <f t="shared" si="3"/>
        <v>0</v>
      </c>
      <c r="P83" s="370">
        <f t="shared" si="4"/>
        <v>0</v>
      </c>
      <c r="Q83" s="366">
        <f t="shared" si="7"/>
        <v>1</v>
      </c>
      <c r="R83" s="370">
        <f t="shared" si="0"/>
        <v>0</v>
      </c>
      <c r="S83" s="366">
        <f t="shared" si="8"/>
        <v>0</v>
      </c>
      <c r="T83" s="366">
        <v>0</v>
      </c>
      <c r="U83" s="370">
        <f t="shared" si="5"/>
        <v>0</v>
      </c>
      <c r="V83" s="370"/>
      <c r="W83" s="372"/>
      <c r="X83" s="370"/>
      <c r="Y83" s="370"/>
      <c r="Z83" s="370"/>
      <c r="AA83" s="370"/>
      <c r="AB83" s="370"/>
      <c r="AC83" s="370"/>
      <c r="AD83" s="370"/>
      <c r="AE83" s="370"/>
      <c r="AF83" s="370"/>
      <c r="AG83" s="370"/>
      <c r="AH83" s="370"/>
      <c r="AI83" s="370"/>
      <c r="AJ83" s="366"/>
      <c r="AK83" s="366"/>
      <c r="AL83" s="360"/>
      <c r="AM83" s="305" t="s">
        <v>823</v>
      </c>
      <c r="AN83" s="305"/>
      <c r="AO83" s="305"/>
      <c r="AP83" s="305"/>
      <c r="AQ83" s="305"/>
      <c r="AR83" s="305"/>
      <c r="AS83" s="305"/>
      <c r="AT83" s="305"/>
      <c r="AU83" s="305"/>
      <c r="AV83" s="305"/>
    </row>
    <row r="84" spans="1:48" s="306" customFormat="1" ht="58.5" hidden="1">
      <c r="A84" s="308" t="s">
        <v>692</v>
      </c>
      <c r="B84" s="304" t="s">
        <v>693</v>
      </c>
      <c r="C84" s="341" t="s">
        <v>797</v>
      </c>
      <c r="D84" s="284"/>
      <c r="E84" s="284"/>
      <c r="F84" s="284"/>
      <c r="G84" s="284"/>
      <c r="H84" s="284"/>
      <c r="I84" s="284"/>
      <c r="J84" s="366">
        <v>1</v>
      </c>
      <c r="K84" s="370">
        <f t="shared" si="6"/>
        <v>1.418439716312057</v>
      </c>
      <c r="L84" s="371">
        <v>20</v>
      </c>
      <c r="M84" s="371">
        <v>20</v>
      </c>
      <c r="N84" s="366">
        <f t="shared" si="2"/>
        <v>1</v>
      </c>
      <c r="O84" s="370">
        <f t="shared" si="3"/>
        <v>2.836879432624114</v>
      </c>
      <c r="P84" s="370">
        <f t="shared" si="4"/>
        <v>20</v>
      </c>
      <c r="Q84" s="366">
        <f t="shared" si="7"/>
        <v>1</v>
      </c>
      <c r="R84" s="370">
        <f t="shared" si="0"/>
        <v>2.836879432624114</v>
      </c>
      <c r="S84" s="366">
        <f t="shared" si="8"/>
        <v>100</v>
      </c>
      <c r="T84" s="366">
        <v>15.5</v>
      </c>
      <c r="U84" s="370">
        <f t="shared" si="5"/>
        <v>77.5</v>
      </c>
      <c r="V84" s="370"/>
      <c r="W84" s="372"/>
      <c r="X84" s="370"/>
      <c r="Y84" s="370"/>
      <c r="Z84" s="370"/>
      <c r="AA84" s="370"/>
      <c r="AB84" s="370"/>
      <c r="AC84" s="370"/>
      <c r="AD84" s="370"/>
      <c r="AE84" s="370"/>
      <c r="AF84" s="370"/>
      <c r="AG84" s="370"/>
      <c r="AH84" s="370"/>
      <c r="AI84" s="370"/>
      <c r="AJ84" s="366"/>
      <c r="AK84" s="366"/>
      <c r="AL84" s="360"/>
      <c r="AM84" s="305" t="s">
        <v>823</v>
      </c>
      <c r="AN84" s="305"/>
      <c r="AO84" s="305"/>
      <c r="AP84" s="305"/>
      <c r="AQ84" s="305"/>
      <c r="AR84" s="305"/>
      <c r="AS84" s="305"/>
      <c r="AT84" s="305"/>
      <c r="AU84" s="305"/>
      <c r="AV84" s="305"/>
    </row>
    <row r="85" spans="1:48" s="306" customFormat="1" ht="39" hidden="1">
      <c r="A85" s="304" t="s">
        <v>305</v>
      </c>
      <c r="B85" s="304" t="s">
        <v>694</v>
      </c>
      <c r="C85" s="341" t="s">
        <v>797</v>
      </c>
      <c r="D85" s="284"/>
      <c r="E85" s="284"/>
      <c r="F85" s="284"/>
      <c r="G85" s="284"/>
      <c r="H85" s="284"/>
      <c r="I85" s="284"/>
      <c r="J85" s="366">
        <v>5</v>
      </c>
      <c r="K85" s="370">
        <f t="shared" si="6"/>
        <v>0.35460992907801425</v>
      </c>
      <c r="L85" s="371">
        <v>5</v>
      </c>
      <c r="M85" s="371">
        <v>5</v>
      </c>
      <c r="N85" s="366">
        <f t="shared" si="2"/>
        <v>5</v>
      </c>
      <c r="O85" s="370">
        <f t="shared" si="3"/>
        <v>0.7092198581560285</v>
      </c>
      <c r="P85" s="370">
        <f t="shared" si="4"/>
        <v>5</v>
      </c>
      <c r="Q85" s="366">
        <f t="shared" si="7"/>
        <v>5</v>
      </c>
      <c r="R85" s="370">
        <f t="shared" si="0"/>
        <v>0.7092198581560285</v>
      </c>
      <c r="S85" s="366">
        <f t="shared" si="8"/>
        <v>100</v>
      </c>
      <c r="T85" s="366">
        <v>4.87</v>
      </c>
      <c r="U85" s="370">
        <f t="shared" si="5"/>
        <v>97.399999999999991</v>
      </c>
      <c r="V85" s="370"/>
      <c r="W85" s="372"/>
      <c r="X85" s="370"/>
      <c r="Y85" s="370"/>
      <c r="Z85" s="370"/>
      <c r="AA85" s="370"/>
      <c r="AB85" s="370"/>
      <c r="AC85" s="370"/>
      <c r="AD85" s="370"/>
      <c r="AE85" s="370"/>
      <c r="AF85" s="370"/>
      <c r="AG85" s="370"/>
      <c r="AH85" s="370"/>
      <c r="AI85" s="370"/>
      <c r="AJ85" s="366"/>
      <c r="AK85" s="366"/>
      <c r="AL85" s="360"/>
      <c r="AM85" s="305" t="s">
        <v>823</v>
      </c>
      <c r="AN85" s="305"/>
      <c r="AO85" s="305"/>
      <c r="AP85" s="305"/>
      <c r="AQ85" s="305"/>
      <c r="AR85" s="305"/>
      <c r="AS85" s="305"/>
      <c r="AT85" s="305"/>
      <c r="AU85" s="305"/>
      <c r="AV85" s="305"/>
    </row>
    <row r="86" spans="1:48" s="306" customFormat="1" ht="58.5" hidden="1">
      <c r="A86" s="304" t="s">
        <v>307</v>
      </c>
      <c r="B86" s="304" t="s">
        <v>695</v>
      </c>
      <c r="C86" s="341" t="s">
        <v>797</v>
      </c>
      <c r="D86" s="284"/>
      <c r="E86" s="284"/>
      <c r="F86" s="284"/>
      <c r="G86" s="284"/>
      <c r="H86" s="284"/>
      <c r="I86" s="284"/>
      <c r="J86" s="366">
        <v>1</v>
      </c>
      <c r="K86" s="370">
        <f t="shared" si="6"/>
        <v>1.0638297872340428</v>
      </c>
      <c r="L86" s="371">
        <v>15</v>
      </c>
      <c r="M86" s="371">
        <v>7.5</v>
      </c>
      <c r="N86" s="366">
        <f t="shared" si="2"/>
        <v>1</v>
      </c>
      <c r="O86" s="370">
        <f t="shared" si="3"/>
        <v>1.0638297872340428</v>
      </c>
      <c r="P86" s="370">
        <f t="shared" si="4"/>
        <v>7.5</v>
      </c>
      <c r="Q86" s="366">
        <f t="shared" si="7"/>
        <v>1</v>
      </c>
      <c r="R86" s="370">
        <f t="shared" ref="R86:R134" si="12">IF(N86=0,Q86/J86*K86,Q86/N86*O86)</f>
        <v>1.0638297872340428</v>
      </c>
      <c r="S86" s="366">
        <f t="shared" si="8"/>
        <v>100</v>
      </c>
      <c r="T86" s="366">
        <v>6.93</v>
      </c>
      <c r="U86" s="370">
        <f t="shared" si="5"/>
        <v>92.399999999999991</v>
      </c>
      <c r="V86" s="370"/>
      <c r="W86" s="372"/>
      <c r="X86" s="370"/>
      <c r="Y86" s="370"/>
      <c r="Z86" s="370"/>
      <c r="AA86" s="370"/>
      <c r="AB86" s="370"/>
      <c r="AC86" s="370"/>
      <c r="AD86" s="370"/>
      <c r="AE86" s="370"/>
      <c r="AF86" s="370"/>
      <c r="AG86" s="370"/>
      <c r="AH86" s="370"/>
      <c r="AI86" s="370"/>
      <c r="AJ86" s="366"/>
      <c r="AK86" s="366"/>
      <c r="AL86" s="360"/>
      <c r="AM86" s="305" t="s">
        <v>823</v>
      </c>
      <c r="AN86" s="305"/>
      <c r="AO86" s="305"/>
      <c r="AP86" s="305"/>
      <c r="AQ86" s="305"/>
      <c r="AR86" s="305"/>
      <c r="AS86" s="305"/>
      <c r="AT86" s="305"/>
      <c r="AU86" s="305"/>
      <c r="AV86" s="305"/>
    </row>
    <row r="87" spans="1:48" s="306" customFormat="1" ht="39" hidden="1">
      <c r="A87" s="304" t="s">
        <v>309</v>
      </c>
      <c r="B87" s="304" t="s">
        <v>696</v>
      </c>
      <c r="C87" s="341" t="s">
        <v>797</v>
      </c>
      <c r="D87" s="284"/>
      <c r="E87" s="284"/>
      <c r="F87" s="284"/>
      <c r="G87" s="284"/>
      <c r="H87" s="284"/>
      <c r="I87" s="284"/>
      <c r="J87" s="366">
        <v>1</v>
      </c>
      <c r="K87" s="370">
        <f t="shared" si="6"/>
        <v>7.0921985815602842</v>
      </c>
      <c r="L87" s="371">
        <v>100</v>
      </c>
      <c r="M87" s="371">
        <v>30.5</v>
      </c>
      <c r="N87" s="366">
        <f t="shared" ref="N87:N134" si="13">J87</f>
        <v>1</v>
      </c>
      <c r="O87" s="370">
        <f t="shared" ref="O87:O134" si="14">P87/$P$136*100</f>
        <v>4.3262411347517737</v>
      </c>
      <c r="P87" s="370">
        <f t="shared" ref="P87:P134" si="15">M87</f>
        <v>30.5</v>
      </c>
      <c r="Q87" s="366">
        <f t="shared" si="7"/>
        <v>1</v>
      </c>
      <c r="R87" s="370">
        <f t="shared" si="12"/>
        <v>4.3262411347517737</v>
      </c>
      <c r="S87" s="366">
        <f t="shared" si="8"/>
        <v>100</v>
      </c>
      <c r="T87" s="366">
        <v>30.35</v>
      </c>
      <c r="U87" s="370">
        <f t="shared" ref="U87:U134" si="16">IFERROR(T87/P87*100,0)</f>
        <v>99.508196721311478</v>
      </c>
      <c r="V87" s="370"/>
      <c r="W87" s="372"/>
      <c r="X87" s="370"/>
      <c r="Y87" s="370"/>
      <c r="Z87" s="370"/>
      <c r="AA87" s="370"/>
      <c r="AB87" s="370"/>
      <c r="AC87" s="370"/>
      <c r="AD87" s="370"/>
      <c r="AE87" s="370"/>
      <c r="AF87" s="370"/>
      <c r="AG87" s="370"/>
      <c r="AH87" s="370"/>
      <c r="AI87" s="370"/>
      <c r="AJ87" s="366"/>
      <c r="AK87" s="366"/>
      <c r="AL87" s="360"/>
      <c r="AM87" s="305" t="s">
        <v>823</v>
      </c>
      <c r="AN87" s="305"/>
      <c r="AO87" s="305"/>
      <c r="AP87" s="305"/>
      <c r="AQ87" s="305"/>
      <c r="AR87" s="305"/>
      <c r="AS87" s="305"/>
      <c r="AT87" s="305"/>
      <c r="AU87" s="305"/>
      <c r="AV87" s="305"/>
    </row>
    <row r="88" spans="1:48" s="306" customFormat="1" ht="39" hidden="1">
      <c r="A88" s="304" t="s">
        <v>311</v>
      </c>
      <c r="B88" s="304" t="s">
        <v>697</v>
      </c>
      <c r="C88" s="341" t="s">
        <v>797</v>
      </c>
      <c r="D88" s="284"/>
      <c r="E88" s="284"/>
      <c r="F88" s="284"/>
      <c r="G88" s="284"/>
      <c r="H88" s="284"/>
      <c r="I88" s="284"/>
      <c r="J88" s="366">
        <v>1</v>
      </c>
      <c r="K88" s="370">
        <f t="shared" ref="K88:K134" si="17">(L88/$L$135)*100</f>
        <v>7.0921985815602856E-2</v>
      </c>
      <c r="L88" s="371">
        <v>1</v>
      </c>
      <c r="M88" s="371">
        <v>0</v>
      </c>
      <c r="N88" s="366">
        <f t="shared" si="13"/>
        <v>1</v>
      </c>
      <c r="O88" s="370">
        <f t="shared" si="14"/>
        <v>0</v>
      </c>
      <c r="P88" s="370">
        <f t="shared" si="15"/>
        <v>0</v>
      </c>
      <c r="Q88" s="366">
        <f t="shared" ref="Q88:Q133" si="18">J88</f>
        <v>1</v>
      </c>
      <c r="R88" s="370">
        <f t="shared" si="12"/>
        <v>0</v>
      </c>
      <c r="S88" s="366">
        <f t="shared" si="8"/>
        <v>0</v>
      </c>
      <c r="T88" s="366">
        <v>0</v>
      </c>
      <c r="U88" s="370">
        <f t="shared" si="16"/>
        <v>0</v>
      </c>
      <c r="V88" s="370"/>
      <c r="W88" s="372"/>
      <c r="X88" s="370"/>
      <c r="Y88" s="370"/>
      <c r="Z88" s="370"/>
      <c r="AA88" s="370"/>
      <c r="AB88" s="370"/>
      <c r="AC88" s="370"/>
      <c r="AD88" s="370"/>
      <c r="AE88" s="370"/>
      <c r="AF88" s="370"/>
      <c r="AG88" s="370"/>
      <c r="AH88" s="370"/>
      <c r="AI88" s="370"/>
      <c r="AJ88" s="366"/>
      <c r="AK88" s="366"/>
      <c r="AL88" s="360"/>
      <c r="AM88" s="305" t="s">
        <v>823</v>
      </c>
      <c r="AN88" s="305"/>
      <c r="AO88" s="305"/>
      <c r="AP88" s="305"/>
      <c r="AQ88" s="305"/>
      <c r="AR88" s="305"/>
      <c r="AS88" s="305"/>
      <c r="AT88" s="305"/>
      <c r="AU88" s="305"/>
      <c r="AV88" s="305"/>
    </row>
    <row r="89" spans="1:48" s="306" customFormat="1" ht="39" hidden="1">
      <c r="A89" s="304" t="s">
        <v>313</v>
      </c>
      <c r="B89" s="304" t="s">
        <v>698</v>
      </c>
      <c r="C89" s="341" t="s">
        <v>797</v>
      </c>
      <c r="D89" s="284"/>
      <c r="E89" s="284"/>
      <c r="F89" s="284"/>
      <c r="G89" s="284"/>
      <c r="H89" s="284"/>
      <c r="I89" s="284"/>
      <c r="J89" s="366">
        <v>1</v>
      </c>
      <c r="K89" s="370">
        <f t="shared" si="17"/>
        <v>7.0921985815602856E-2</v>
      </c>
      <c r="L89" s="371">
        <v>1</v>
      </c>
      <c r="M89" s="371">
        <v>0</v>
      </c>
      <c r="N89" s="366">
        <f t="shared" si="13"/>
        <v>1</v>
      </c>
      <c r="O89" s="370">
        <f t="shared" si="14"/>
        <v>0</v>
      </c>
      <c r="P89" s="370">
        <f t="shared" si="15"/>
        <v>0</v>
      </c>
      <c r="Q89" s="366">
        <f t="shared" si="18"/>
        <v>1</v>
      </c>
      <c r="R89" s="370">
        <f t="shared" si="12"/>
        <v>0</v>
      </c>
      <c r="S89" s="366">
        <f t="shared" si="8"/>
        <v>0</v>
      </c>
      <c r="T89" s="366">
        <v>0</v>
      </c>
      <c r="U89" s="370">
        <f t="shared" si="16"/>
        <v>0</v>
      </c>
      <c r="V89" s="370"/>
      <c r="W89" s="372"/>
      <c r="X89" s="370"/>
      <c r="Y89" s="370"/>
      <c r="Z89" s="370"/>
      <c r="AA89" s="370"/>
      <c r="AB89" s="370"/>
      <c r="AC89" s="370"/>
      <c r="AD89" s="370"/>
      <c r="AE89" s="370"/>
      <c r="AF89" s="370"/>
      <c r="AG89" s="370"/>
      <c r="AH89" s="370"/>
      <c r="AI89" s="370"/>
      <c r="AJ89" s="366"/>
      <c r="AK89" s="366"/>
      <c r="AL89" s="360"/>
      <c r="AM89" s="305" t="s">
        <v>823</v>
      </c>
      <c r="AN89" s="305"/>
      <c r="AO89" s="305"/>
      <c r="AP89" s="305"/>
      <c r="AQ89" s="305"/>
      <c r="AR89" s="305"/>
      <c r="AS89" s="305"/>
      <c r="AT89" s="305"/>
      <c r="AU89" s="305"/>
      <c r="AV89" s="305"/>
    </row>
    <row r="90" spans="1:48" s="306" customFormat="1" ht="39" hidden="1">
      <c r="A90" s="304" t="s">
        <v>315</v>
      </c>
      <c r="B90" s="304" t="s">
        <v>699</v>
      </c>
      <c r="C90" s="341" t="s">
        <v>797</v>
      </c>
      <c r="D90" s="284"/>
      <c r="E90" s="284"/>
      <c r="F90" s="284"/>
      <c r="G90" s="284"/>
      <c r="H90" s="284"/>
      <c r="I90" s="284"/>
      <c r="J90" s="366">
        <v>1</v>
      </c>
      <c r="K90" s="370">
        <f t="shared" si="17"/>
        <v>7.0921985815602856E-2</v>
      </c>
      <c r="L90" s="371">
        <v>1</v>
      </c>
      <c r="M90" s="371">
        <v>0</v>
      </c>
      <c r="N90" s="366">
        <f t="shared" si="13"/>
        <v>1</v>
      </c>
      <c r="O90" s="370">
        <f t="shared" si="14"/>
        <v>0</v>
      </c>
      <c r="P90" s="370">
        <f t="shared" si="15"/>
        <v>0</v>
      </c>
      <c r="Q90" s="366">
        <f t="shared" si="18"/>
        <v>1</v>
      </c>
      <c r="R90" s="370">
        <f t="shared" si="12"/>
        <v>0</v>
      </c>
      <c r="S90" s="366">
        <f t="shared" si="8"/>
        <v>0</v>
      </c>
      <c r="T90" s="366">
        <v>0</v>
      </c>
      <c r="U90" s="370">
        <f t="shared" si="16"/>
        <v>0</v>
      </c>
      <c r="V90" s="370"/>
      <c r="W90" s="372"/>
      <c r="X90" s="370"/>
      <c r="Y90" s="370"/>
      <c r="Z90" s="370"/>
      <c r="AA90" s="370"/>
      <c r="AB90" s="370"/>
      <c r="AC90" s="370"/>
      <c r="AD90" s="370"/>
      <c r="AE90" s="370"/>
      <c r="AF90" s="370"/>
      <c r="AG90" s="370"/>
      <c r="AH90" s="370"/>
      <c r="AI90" s="370"/>
      <c r="AJ90" s="366"/>
      <c r="AK90" s="366"/>
      <c r="AL90" s="360"/>
      <c r="AM90" s="305" t="s">
        <v>823</v>
      </c>
      <c r="AN90" s="305"/>
      <c r="AO90" s="305"/>
      <c r="AP90" s="305"/>
      <c r="AQ90" s="305"/>
      <c r="AR90" s="305"/>
      <c r="AS90" s="305"/>
      <c r="AT90" s="305"/>
      <c r="AU90" s="305"/>
      <c r="AV90" s="305"/>
    </row>
    <row r="91" spans="1:48" s="306" customFormat="1" ht="58.5" hidden="1">
      <c r="A91" s="304" t="s">
        <v>317</v>
      </c>
      <c r="B91" s="304" t="s">
        <v>700</v>
      </c>
      <c r="C91" s="341" t="s">
        <v>797</v>
      </c>
      <c r="D91" s="284"/>
      <c r="E91" s="284"/>
      <c r="F91" s="284"/>
      <c r="G91" s="284"/>
      <c r="H91" s="284"/>
      <c r="I91" s="284"/>
      <c r="J91" s="366">
        <v>1</v>
      </c>
      <c r="K91" s="370">
        <f t="shared" si="17"/>
        <v>7.0921985815602856E-2</v>
      </c>
      <c r="L91" s="371">
        <v>1</v>
      </c>
      <c r="M91" s="371">
        <v>0</v>
      </c>
      <c r="N91" s="366">
        <f t="shared" si="13"/>
        <v>1</v>
      </c>
      <c r="O91" s="370">
        <f t="shared" si="14"/>
        <v>0</v>
      </c>
      <c r="P91" s="370">
        <f t="shared" si="15"/>
        <v>0</v>
      </c>
      <c r="Q91" s="366">
        <f t="shared" si="18"/>
        <v>1</v>
      </c>
      <c r="R91" s="370">
        <f t="shared" si="12"/>
        <v>0</v>
      </c>
      <c r="S91" s="366">
        <f t="shared" si="8"/>
        <v>0</v>
      </c>
      <c r="T91" s="366">
        <v>0</v>
      </c>
      <c r="U91" s="370">
        <f t="shared" si="16"/>
        <v>0</v>
      </c>
      <c r="V91" s="370"/>
      <c r="W91" s="372"/>
      <c r="X91" s="370"/>
      <c r="Y91" s="370"/>
      <c r="Z91" s="370"/>
      <c r="AA91" s="370"/>
      <c r="AB91" s="370"/>
      <c r="AC91" s="370"/>
      <c r="AD91" s="370"/>
      <c r="AE91" s="370"/>
      <c r="AF91" s="370"/>
      <c r="AG91" s="370"/>
      <c r="AH91" s="370"/>
      <c r="AI91" s="370"/>
      <c r="AJ91" s="366"/>
      <c r="AK91" s="366"/>
      <c r="AL91" s="360"/>
      <c r="AM91" s="305" t="s">
        <v>823</v>
      </c>
      <c r="AN91" s="305"/>
      <c r="AO91" s="305"/>
      <c r="AP91" s="305"/>
      <c r="AQ91" s="305"/>
      <c r="AR91" s="305"/>
      <c r="AS91" s="305"/>
      <c r="AT91" s="305"/>
      <c r="AU91" s="305"/>
      <c r="AV91" s="305"/>
    </row>
    <row r="92" spans="1:48" s="306" customFormat="1" ht="58.5" hidden="1">
      <c r="A92" s="304" t="s">
        <v>319</v>
      </c>
      <c r="B92" s="304" t="s">
        <v>701</v>
      </c>
      <c r="C92" s="341" t="s">
        <v>797</v>
      </c>
      <c r="D92" s="284"/>
      <c r="E92" s="284"/>
      <c r="F92" s="284"/>
      <c r="G92" s="284"/>
      <c r="H92" s="284"/>
      <c r="I92" s="284"/>
      <c r="J92" s="366">
        <v>1</v>
      </c>
      <c r="K92" s="370">
        <f t="shared" si="17"/>
        <v>7.0921985815602856E-2</v>
      </c>
      <c r="L92" s="371">
        <v>1</v>
      </c>
      <c r="M92" s="371">
        <v>0</v>
      </c>
      <c r="N92" s="366">
        <f t="shared" si="13"/>
        <v>1</v>
      </c>
      <c r="O92" s="370">
        <f t="shared" si="14"/>
        <v>0</v>
      </c>
      <c r="P92" s="370">
        <f t="shared" si="15"/>
        <v>0</v>
      </c>
      <c r="Q92" s="366">
        <f t="shared" si="18"/>
        <v>1</v>
      </c>
      <c r="R92" s="370">
        <f t="shared" si="12"/>
        <v>0</v>
      </c>
      <c r="S92" s="366">
        <f t="shared" si="8"/>
        <v>0</v>
      </c>
      <c r="T92" s="366">
        <v>0</v>
      </c>
      <c r="U92" s="370">
        <f t="shared" si="16"/>
        <v>0</v>
      </c>
      <c r="V92" s="370"/>
      <c r="W92" s="372"/>
      <c r="X92" s="370"/>
      <c r="Y92" s="370"/>
      <c r="Z92" s="370"/>
      <c r="AA92" s="370"/>
      <c r="AB92" s="370"/>
      <c r="AC92" s="370"/>
      <c r="AD92" s="370"/>
      <c r="AE92" s="370"/>
      <c r="AF92" s="370"/>
      <c r="AG92" s="370"/>
      <c r="AH92" s="370"/>
      <c r="AI92" s="370"/>
      <c r="AJ92" s="366"/>
      <c r="AK92" s="366"/>
      <c r="AL92" s="360"/>
      <c r="AM92" s="305" t="s">
        <v>823</v>
      </c>
      <c r="AN92" s="305"/>
      <c r="AO92" s="305"/>
      <c r="AP92" s="305"/>
      <c r="AQ92" s="305"/>
      <c r="AR92" s="305"/>
      <c r="AS92" s="305"/>
      <c r="AT92" s="305"/>
      <c r="AU92" s="305"/>
      <c r="AV92" s="305"/>
    </row>
    <row r="93" spans="1:48" s="306" customFormat="1" ht="39" hidden="1">
      <c r="A93" s="304" t="s">
        <v>321</v>
      </c>
      <c r="B93" s="304" t="s">
        <v>702</v>
      </c>
      <c r="C93" s="341" t="s">
        <v>797</v>
      </c>
      <c r="D93" s="284"/>
      <c r="E93" s="284"/>
      <c r="F93" s="284"/>
      <c r="G93" s="284"/>
      <c r="H93" s="284"/>
      <c r="I93" s="284"/>
      <c r="J93" s="366">
        <v>20.67</v>
      </c>
      <c r="K93" s="370">
        <f t="shared" si="17"/>
        <v>2.1985815602836882</v>
      </c>
      <c r="L93" s="371">
        <v>31</v>
      </c>
      <c r="M93" s="371">
        <v>20.56</v>
      </c>
      <c r="N93" s="366">
        <f t="shared" si="13"/>
        <v>20.67</v>
      </c>
      <c r="O93" s="370">
        <f t="shared" si="14"/>
        <v>2.9163120567375889</v>
      </c>
      <c r="P93" s="370">
        <f t="shared" si="15"/>
        <v>20.56</v>
      </c>
      <c r="Q93" s="366">
        <f t="shared" si="18"/>
        <v>20.67</v>
      </c>
      <c r="R93" s="370">
        <f t="shared" si="12"/>
        <v>2.9163120567375889</v>
      </c>
      <c r="S93" s="366">
        <f t="shared" si="8"/>
        <v>100</v>
      </c>
      <c r="T93" s="366">
        <v>20.420000000000002</v>
      </c>
      <c r="U93" s="370">
        <f t="shared" si="16"/>
        <v>99.319066147859942</v>
      </c>
      <c r="V93" s="370"/>
      <c r="W93" s="372"/>
      <c r="X93" s="370"/>
      <c r="Y93" s="370"/>
      <c r="Z93" s="370"/>
      <c r="AA93" s="370"/>
      <c r="AB93" s="370"/>
      <c r="AC93" s="370"/>
      <c r="AD93" s="370"/>
      <c r="AE93" s="370"/>
      <c r="AF93" s="370"/>
      <c r="AG93" s="370"/>
      <c r="AH93" s="370"/>
      <c r="AI93" s="370"/>
      <c r="AJ93" s="366"/>
      <c r="AK93" s="366"/>
      <c r="AL93" s="360"/>
      <c r="AM93" s="305" t="s">
        <v>823</v>
      </c>
      <c r="AN93" s="305"/>
      <c r="AO93" s="305"/>
      <c r="AP93" s="305"/>
      <c r="AQ93" s="305"/>
      <c r="AR93" s="305"/>
      <c r="AS93" s="305"/>
      <c r="AT93" s="305"/>
      <c r="AU93" s="305"/>
      <c r="AV93" s="305"/>
    </row>
    <row r="94" spans="1:48" s="306" customFormat="1" ht="39" hidden="1">
      <c r="A94" s="304" t="s">
        <v>325</v>
      </c>
      <c r="B94" s="304" t="s">
        <v>703</v>
      </c>
      <c r="C94" s="341" t="s">
        <v>797</v>
      </c>
      <c r="D94" s="284"/>
      <c r="E94" s="284"/>
      <c r="F94" s="284"/>
      <c r="G94" s="284"/>
      <c r="H94" s="284"/>
      <c r="I94" s="284"/>
      <c r="J94" s="366">
        <v>10</v>
      </c>
      <c r="K94" s="370">
        <f t="shared" si="17"/>
        <v>1.418439716312057</v>
      </c>
      <c r="L94" s="371">
        <v>20</v>
      </c>
      <c r="M94" s="371">
        <v>14.48</v>
      </c>
      <c r="N94" s="366">
        <f t="shared" si="13"/>
        <v>10</v>
      </c>
      <c r="O94" s="370">
        <f t="shared" si="14"/>
        <v>2.0539007092198589</v>
      </c>
      <c r="P94" s="370">
        <f t="shared" si="15"/>
        <v>14.48</v>
      </c>
      <c r="Q94" s="366">
        <f t="shared" si="18"/>
        <v>10</v>
      </c>
      <c r="R94" s="370">
        <f t="shared" si="12"/>
        <v>2.0539007092198589</v>
      </c>
      <c r="S94" s="366">
        <f t="shared" si="8"/>
        <v>100</v>
      </c>
      <c r="T94" s="366">
        <v>14.47</v>
      </c>
      <c r="U94" s="370">
        <f t="shared" si="16"/>
        <v>99.930939226519328</v>
      </c>
      <c r="V94" s="370"/>
      <c r="W94" s="372"/>
      <c r="X94" s="370"/>
      <c r="Y94" s="370"/>
      <c r="Z94" s="370"/>
      <c r="AA94" s="370"/>
      <c r="AB94" s="370"/>
      <c r="AC94" s="370"/>
      <c r="AD94" s="370"/>
      <c r="AE94" s="370"/>
      <c r="AF94" s="370"/>
      <c r="AG94" s="370"/>
      <c r="AH94" s="370"/>
      <c r="AI94" s="370"/>
      <c r="AJ94" s="366"/>
      <c r="AK94" s="366"/>
      <c r="AL94" s="360"/>
      <c r="AM94" s="305" t="s">
        <v>823</v>
      </c>
      <c r="AN94" s="305"/>
      <c r="AO94" s="305"/>
      <c r="AP94" s="305"/>
      <c r="AQ94" s="305"/>
      <c r="AR94" s="305"/>
      <c r="AS94" s="305"/>
      <c r="AT94" s="305"/>
      <c r="AU94" s="305"/>
      <c r="AV94" s="305"/>
    </row>
    <row r="95" spans="1:48" s="306" customFormat="1" ht="39" hidden="1">
      <c r="A95" s="304" t="s">
        <v>818</v>
      </c>
      <c r="B95" s="379" t="s">
        <v>705</v>
      </c>
      <c r="C95" s="283" t="s">
        <v>795</v>
      </c>
      <c r="D95" s="284"/>
      <c r="E95" s="284"/>
      <c r="F95" s="284"/>
      <c r="G95" s="284"/>
      <c r="H95" s="284"/>
      <c r="I95" s="284"/>
      <c r="J95" s="366">
        <v>1</v>
      </c>
      <c r="K95" s="370">
        <f t="shared" si="17"/>
        <v>5.3191489361702136</v>
      </c>
      <c r="L95" s="371">
        <v>75</v>
      </c>
      <c r="M95" s="371">
        <v>73.099999999999994</v>
      </c>
      <c r="N95" s="366">
        <f t="shared" si="13"/>
        <v>1</v>
      </c>
      <c r="O95" s="370">
        <f t="shared" si="14"/>
        <v>10.368794326241137</v>
      </c>
      <c r="P95" s="370">
        <f t="shared" si="15"/>
        <v>73.099999999999994</v>
      </c>
      <c r="Q95" s="366">
        <f t="shared" si="18"/>
        <v>1</v>
      </c>
      <c r="R95" s="370">
        <f t="shared" si="12"/>
        <v>10.368794326241137</v>
      </c>
      <c r="S95" s="366">
        <f t="shared" si="8"/>
        <v>100</v>
      </c>
      <c r="T95" s="366">
        <v>71.7</v>
      </c>
      <c r="U95" s="370">
        <f t="shared" si="16"/>
        <v>98.084815321477436</v>
      </c>
      <c r="V95" s="370"/>
      <c r="W95" s="372"/>
      <c r="X95" s="370"/>
      <c r="Y95" s="370"/>
      <c r="Z95" s="370"/>
      <c r="AA95" s="370"/>
      <c r="AB95" s="370"/>
      <c r="AC95" s="370"/>
      <c r="AD95" s="370"/>
      <c r="AE95" s="370"/>
      <c r="AF95" s="370"/>
      <c r="AG95" s="370"/>
      <c r="AH95" s="370"/>
      <c r="AI95" s="370"/>
      <c r="AJ95" s="366"/>
      <c r="AK95" s="366"/>
      <c r="AL95" s="360"/>
      <c r="AM95" s="305" t="s">
        <v>824</v>
      </c>
      <c r="AN95" s="305"/>
      <c r="AO95" s="305"/>
      <c r="AP95" s="305"/>
      <c r="AQ95" s="305"/>
      <c r="AR95" s="305"/>
      <c r="AS95" s="305"/>
      <c r="AT95" s="305"/>
      <c r="AU95" s="305"/>
      <c r="AV95" s="305"/>
    </row>
    <row r="96" spans="1:48" s="306" customFormat="1" ht="39" hidden="1">
      <c r="A96" s="304" t="s">
        <v>327</v>
      </c>
      <c r="B96" s="304" t="s">
        <v>706</v>
      </c>
      <c r="C96" s="341" t="s">
        <v>797</v>
      </c>
      <c r="D96" s="284"/>
      <c r="E96" s="284"/>
      <c r="F96" s="284"/>
      <c r="G96" s="284"/>
      <c r="H96" s="284"/>
      <c r="I96" s="284"/>
      <c r="J96" s="366">
        <v>1</v>
      </c>
      <c r="K96" s="370">
        <f t="shared" si="17"/>
        <v>7.0921985815602856E-2</v>
      </c>
      <c r="L96" s="371">
        <v>1</v>
      </c>
      <c r="M96" s="371">
        <v>0</v>
      </c>
      <c r="N96" s="366">
        <f t="shared" si="13"/>
        <v>1</v>
      </c>
      <c r="O96" s="370">
        <f t="shared" si="14"/>
        <v>0</v>
      </c>
      <c r="P96" s="370">
        <f t="shared" si="15"/>
        <v>0</v>
      </c>
      <c r="Q96" s="366">
        <f t="shared" si="18"/>
        <v>1</v>
      </c>
      <c r="R96" s="370">
        <f t="shared" si="12"/>
        <v>0</v>
      </c>
      <c r="S96" s="366">
        <f t="shared" ref="S96:S124" si="19">ROUND(IF(O96=0,R96/K96*100,R96/O96*100),2)</f>
        <v>0</v>
      </c>
      <c r="T96" s="366">
        <v>0</v>
      </c>
      <c r="U96" s="370">
        <f t="shared" si="16"/>
        <v>0</v>
      </c>
      <c r="V96" s="370"/>
      <c r="W96" s="372"/>
      <c r="X96" s="370"/>
      <c r="Y96" s="370"/>
      <c r="Z96" s="370"/>
      <c r="AA96" s="370"/>
      <c r="AB96" s="370"/>
      <c r="AC96" s="370"/>
      <c r="AD96" s="370"/>
      <c r="AE96" s="370"/>
      <c r="AF96" s="370"/>
      <c r="AG96" s="370"/>
      <c r="AH96" s="370"/>
      <c r="AI96" s="370"/>
      <c r="AJ96" s="366"/>
      <c r="AK96" s="366"/>
      <c r="AL96" s="360"/>
      <c r="AM96" s="305" t="s">
        <v>823</v>
      </c>
      <c r="AN96" s="305"/>
      <c r="AO96" s="305"/>
      <c r="AP96" s="305"/>
      <c r="AQ96" s="305"/>
      <c r="AR96" s="305"/>
      <c r="AS96" s="305"/>
      <c r="AT96" s="305"/>
      <c r="AU96" s="305"/>
      <c r="AV96" s="305"/>
    </row>
    <row r="97" spans="1:48" s="306" customFormat="1" ht="39" hidden="1">
      <c r="A97" s="304" t="s">
        <v>329</v>
      </c>
      <c r="B97" s="304" t="s">
        <v>707</v>
      </c>
      <c r="C97" s="341" t="s">
        <v>797</v>
      </c>
      <c r="D97" s="284"/>
      <c r="E97" s="284"/>
      <c r="F97" s="284"/>
      <c r="G97" s="284"/>
      <c r="H97" s="284"/>
      <c r="I97" s="284"/>
      <c r="J97" s="366">
        <v>0.5</v>
      </c>
      <c r="K97" s="370">
        <f t="shared" si="17"/>
        <v>3.5460992907801428E-2</v>
      </c>
      <c r="L97" s="371">
        <v>0.5</v>
      </c>
      <c r="M97" s="371">
        <v>0.5</v>
      </c>
      <c r="N97" s="366">
        <f t="shared" si="13"/>
        <v>0.5</v>
      </c>
      <c r="O97" s="370">
        <f t="shared" si="14"/>
        <v>7.0921985815602856E-2</v>
      </c>
      <c r="P97" s="370">
        <f t="shared" si="15"/>
        <v>0.5</v>
      </c>
      <c r="Q97" s="366">
        <f t="shared" si="18"/>
        <v>0.5</v>
      </c>
      <c r="R97" s="370">
        <f t="shared" si="12"/>
        <v>7.0921985815602856E-2</v>
      </c>
      <c r="S97" s="366">
        <f t="shared" si="19"/>
        <v>100</v>
      </c>
      <c r="T97" s="366">
        <v>0.31</v>
      </c>
      <c r="U97" s="370">
        <f t="shared" si="16"/>
        <v>62</v>
      </c>
      <c r="V97" s="370"/>
      <c r="W97" s="372"/>
      <c r="X97" s="370"/>
      <c r="Y97" s="370"/>
      <c r="Z97" s="370"/>
      <c r="AA97" s="370"/>
      <c r="AB97" s="370"/>
      <c r="AC97" s="370"/>
      <c r="AD97" s="370"/>
      <c r="AE97" s="370"/>
      <c r="AF97" s="370"/>
      <c r="AG97" s="370"/>
      <c r="AH97" s="370"/>
      <c r="AI97" s="370"/>
      <c r="AJ97" s="366"/>
      <c r="AK97" s="366"/>
      <c r="AL97" s="360"/>
      <c r="AM97" s="305" t="s">
        <v>823</v>
      </c>
      <c r="AN97" s="305"/>
      <c r="AO97" s="305"/>
      <c r="AP97" s="305"/>
      <c r="AQ97" s="305"/>
      <c r="AR97" s="305"/>
      <c r="AS97" s="305"/>
      <c r="AT97" s="305"/>
      <c r="AU97" s="305"/>
      <c r="AV97" s="305"/>
    </row>
    <row r="98" spans="1:48" s="306" customFormat="1" ht="39" hidden="1">
      <c r="A98" s="304" t="s">
        <v>331</v>
      </c>
      <c r="B98" s="304" t="s">
        <v>708</v>
      </c>
      <c r="C98" s="341" t="s">
        <v>797</v>
      </c>
      <c r="D98" s="284"/>
      <c r="E98" s="284"/>
      <c r="F98" s="284"/>
      <c r="G98" s="284"/>
      <c r="H98" s="284"/>
      <c r="I98" s="284"/>
      <c r="J98" s="366">
        <v>0.5</v>
      </c>
      <c r="K98" s="370">
        <f t="shared" si="17"/>
        <v>3.5460992907801428E-2</v>
      </c>
      <c r="L98" s="371">
        <v>0.5</v>
      </c>
      <c r="M98" s="371">
        <v>0</v>
      </c>
      <c r="N98" s="366">
        <f t="shared" si="13"/>
        <v>0.5</v>
      </c>
      <c r="O98" s="370">
        <f t="shared" si="14"/>
        <v>0</v>
      </c>
      <c r="P98" s="370">
        <f t="shared" si="15"/>
        <v>0</v>
      </c>
      <c r="Q98" s="366">
        <f t="shared" si="18"/>
        <v>0.5</v>
      </c>
      <c r="R98" s="370">
        <f t="shared" si="12"/>
        <v>0</v>
      </c>
      <c r="S98" s="366">
        <f t="shared" si="19"/>
        <v>0</v>
      </c>
      <c r="T98" s="366">
        <v>0</v>
      </c>
      <c r="U98" s="370">
        <f t="shared" si="16"/>
        <v>0</v>
      </c>
      <c r="V98" s="370"/>
      <c r="W98" s="372"/>
      <c r="X98" s="370"/>
      <c r="Y98" s="370"/>
      <c r="Z98" s="370"/>
      <c r="AA98" s="370"/>
      <c r="AB98" s="370"/>
      <c r="AC98" s="370"/>
      <c r="AD98" s="370"/>
      <c r="AE98" s="370"/>
      <c r="AF98" s="370"/>
      <c r="AG98" s="370"/>
      <c r="AH98" s="370"/>
      <c r="AI98" s="370"/>
      <c r="AJ98" s="366"/>
      <c r="AK98" s="366"/>
      <c r="AL98" s="360"/>
      <c r="AM98" s="305" t="s">
        <v>823</v>
      </c>
      <c r="AN98" s="305"/>
      <c r="AO98" s="305"/>
      <c r="AP98" s="305"/>
      <c r="AQ98" s="305"/>
      <c r="AR98" s="305"/>
      <c r="AS98" s="305"/>
      <c r="AT98" s="305"/>
      <c r="AU98" s="305"/>
      <c r="AV98" s="305"/>
    </row>
    <row r="99" spans="1:48" s="306" customFormat="1" ht="39" hidden="1">
      <c r="A99" s="304" t="s">
        <v>333</v>
      </c>
      <c r="B99" s="304" t="s">
        <v>709</v>
      </c>
      <c r="C99" s="341" t="s">
        <v>797</v>
      </c>
      <c r="D99" s="284"/>
      <c r="E99" s="284"/>
      <c r="F99" s="284"/>
      <c r="G99" s="284"/>
      <c r="H99" s="284"/>
      <c r="I99" s="284"/>
      <c r="J99" s="366">
        <v>0.5</v>
      </c>
      <c r="K99" s="370">
        <f t="shared" si="17"/>
        <v>3.5460992907801428E-2</v>
      </c>
      <c r="L99" s="371">
        <v>0.5</v>
      </c>
      <c r="M99" s="371">
        <v>0</v>
      </c>
      <c r="N99" s="366">
        <f t="shared" si="13"/>
        <v>0.5</v>
      </c>
      <c r="O99" s="370">
        <f t="shared" si="14"/>
        <v>0</v>
      </c>
      <c r="P99" s="370">
        <f t="shared" si="15"/>
        <v>0</v>
      </c>
      <c r="Q99" s="366">
        <f t="shared" si="18"/>
        <v>0.5</v>
      </c>
      <c r="R99" s="370">
        <f t="shared" si="12"/>
        <v>0</v>
      </c>
      <c r="S99" s="366">
        <f t="shared" si="19"/>
        <v>0</v>
      </c>
      <c r="T99" s="366">
        <v>0</v>
      </c>
      <c r="U99" s="370">
        <f t="shared" si="16"/>
        <v>0</v>
      </c>
      <c r="V99" s="370"/>
      <c r="W99" s="372"/>
      <c r="X99" s="370"/>
      <c r="Y99" s="370"/>
      <c r="Z99" s="370"/>
      <c r="AA99" s="370"/>
      <c r="AB99" s="370"/>
      <c r="AC99" s="370"/>
      <c r="AD99" s="370"/>
      <c r="AE99" s="370"/>
      <c r="AF99" s="370"/>
      <c r="AG99" s="370"/>
      <c r="AH99" s="370"/>
      <c r="AI99" s="370"/>
      <c r="AJ99" s="366"/>
      <c r="AK99" s="366"/>
      <c r="AL99" s="360"/>
      <c r="AM99" s="305" t="s">
        <v>823</v>
      </c>
      <c r="AN99" s="305"/>
      <c r="AO99" s="305"/>
      <c r="AP99" s="305"/>
      <c r="AQ99" s="305"/>
      <c r="AR99" s="305"/>
      <c r="AS99" s="305"/>
      <c r="AT99" s="305"/>
      <c r="AU99" s="305"/>
      <c r="AV99" s="305"/>
    </row>
    <row r="100" spans="1:48" s="306" customFormat="1" ht="39" hidden="1">
      <c r="A100" s="304" t="s">
        <v>335</v>
      </c>
      <c r="B100" s="304" t="s">
        <v>710</v>
      </c>
      <c r="C100" s="341" t="s">
        <v>797</v>
      </c>
      <c r="D100" s="284"/>
      <c r="E100" s="284"/>
      <c r="F100" s="284"/>
      <c r="G100" s="284"/>
      <c r="H100" s="284"/>
      <c r="I100" s="284"/>
      <c r="J100" s="366">
        <v>0.5</v>
      </c>
      <c r="K100" s="370">
        <f t="shared" si="17"/>
        <v>3.5460992907801428E-2</v>
      </c>
      <c r="L100" s="371">
        <v>0.5</v>
      </c>
      <c r="M100" s="371">
        <v>0</v>
      </c>
      <c r="N100" s="366">
        <f t="shared" si="13"/>
        <v>0.5</v>
      </c>
      <c r="O100" s="370">
        <f t="shared" si="14"/>
        <v>0</v>
      </c>
      <c r="P100" s="370">
        <f t="shared" si="15"/>
        <v>0</v>
      </c>
      <c r="Q100" s="366">
        <f t="shared" si="18"/>
        <v>0.5</v>
      </c>
      <c r="R100" s="370">
        <f t="shared" si="12"/>
        <v>0</v>
      </c>
      <c r="S100" s="366">
        <f t="shared" si="19"/>
        <v>0</v>
      </c>
      <c r="T100" s="366">
        <v>0</v>
      </c>
      <c r="U100" s="370">
        <f t="shared" si="16"/>
        <v>0</v>
      </c>
      <c r="V100" s="370"/>
      <c r="W100" s="372"/>
      <c r="X100" s="370"/>
      <c r="Y100" s="370"/>
      <c r="Z100" s="370"/>
      <c r="AA100" s="370"/>
      <c r="AB100" s="370"/>
      <c r="AC100" s="370"/>
      <c r="AD100" s="370"/>
      <c r="AE100" s="370"/>
      <c r="AF100" s="370"/>
      <c r="AG100" s="370"/>
      <c r="AH100" s="370"/>
      <c r="AI100" s="370"/>
      <c r="AJ100" s="366"/>
      <c r="AK100" s="366"/>
      <c r="AL100" s="360"/>
      <c r="AM100" s="305" t="s">
        <v>823</v>
      </c>
      <c r="AN100" s="305"/>
      <c r="AO100" s="305"/>
      <c r="AP100" s="305"/>
      <c r="AQ100" s="305"/>
      <c r="AR100" s="305"/>
      <c r="AS100" s="305"/>
      <c r="AT100" s="305"/>
      <c r="AU100" s="305"/>
      <c r="AV100" s="305"/>
    </row>
    <row r="101" spans="1:48" s="306" customFormat="1" ht="58.5" hidden="1">
      <c r="A101" s="304" t="s">
        <v>337</v>
      </c>
      <c r="B101" s="304" t="s">
        <v>711</v>
      </c>
      <c r="C101" s="341" t="s">
        <v>797</v>
      </c>
      <c r="D101" s="284"/>
      <c r="E101" s="284"/>
      <c r="F101" s="284"/>
      <c r="G101" s="284"/>
      <c r="H101" s="284"/>
      <c r="I101" s="284"/>
      <c r="J101" s="366">
        <v>0.5</v>
      </c>
      <c r="K101" s="370">
        <f t="shared" si="17"/>
        <v>3.5460992907801428E-2</v>
      </c>
      <c r="L101" s="371">
        <v>0.5</v>
      </c>
      <c r="M101" s="371">
        <v>0</v>
      </c>
      <c r="N101" s="366">
        <f t="shared" si="13"/>
        <v>0.5</v>
      </c>
      <c r="O101" s="370">
        <f t="shared" si="14"/>
        <v>0</v>
      </c>
      <c r="P101" s="370">
        <f t="shared" si="15"/>
        <v>0</v>
      </c>
      <c r="Q101" s="366">
        <f t="shared" si="18"/>
        <v>0.5</v>
      </c>
      <c r="R101" s="370">
        <f t="shared" si="12"/>
        <v>0</v>
      </c>
      <c r="S101" s="366">
        <f t="shared" si="19"/>
        <v>0</v>
      </c>
      <c r="T101" s="366">
        <v>0</v>
      </c>
      <c r="U101" s="370">
        <f t="shared" si="16"/>
        <v>0</v>
      </c>
      <c r="V101" s="370"/>
      <c r="W101" s="372"/>
      <c r="X101" s="370"/>
      <c r="Y101" s="370"/>
      <c r="Z101" s="370"/>
      <c r="AA101" s="370"/>
      <c r="AB101" s="370"/>
      <c r="AC101" s="370"/>
      <c r="AD101" s="370"/>
      <c r="AE101" s="370"/>
      <c r="AF101" s="370"/>
      <c r="AG101" s="370"/>
      <c r="AH101" s="370"/>
      <c r="AI101" s="370"/>
      <c r="AJ101" s="366"/>
      <c r="AK101" s="366"/>
      <c r="AL101" s="360"/>
      <c r="AM101" s="305" t="s">
        <v>823</v>
      </c>
      <c r="AN101" s="305"/>
      <c r="AO101" s="305"/>
      <c r="AP101" s="305"/>
      <c r="AQ101" s="305"/>
      <c r="AR101" s="305"/>
      <c r="AS101" s="305"/>
      <c r="AT101" s="305"/>
      <c r="AU101" s="305"/>
      <c r="AV101" s="305"/>
    </row>
    <row r="102" spans="1:48" s="306" customFormat="1" ht="39" hidden="1">
      <c r="A102" s="304" t="s">
        <v>339</v>
      </c>
      <c r="B102" s="304" t="s">
        <v>712</v>
      </c>
      <c r="C102" s="341" t="s">
        <v>797</v>
      </c>
      <c r="D102" s="284"/>
      <c r="E102" s="284"/>
      <c r="F102" s="284"/>
      <c r="G102" s="284"/>
      <c r="H102" s="284"/>
      <c r="I102" s="284"/>
      <c r="J102" s="366">
        <v>0.5</v>
      </c>
      <c r="K102" s="370">
        <f t="shared" si="17"/>
        <v>0.27304964539007098</v>
      </c>
      <c r="L102" s="371">
        <v>3.85</v>
      </c>
      <c r="M102" s="371">
        <v>0</v>
      </c>
      <c r="N102" s="366">
        <f t="shared" si="13"/>
        <v>0.5</v>
      </c>
      <c r="O102" s="370">
        <f t="shared" si="14"/>
        <v>0</v>
      </c>
      <c r="P102" s="370">
        <f t="shared" si="15"/>
        <v>0</v>
      </c>
      <c r="Q102" s="366">
        <f t="shared" si="18"/>
        <v>0.5</v>
      </c>
      <c r="R102" s="370">
        <f t="shared" si="12"/>
        <v>0</v>
      </c>
      <c r="S102" s="366">
        <f t="shared" si="19"/>
        <v>0</v>
      </c>
      <c r="T102" s="366">
        <v>0</v>
      </c>
      <c r="U102" s="370">
        <f t="shared" si="16"/>
        <v>0</v>
      </c>
      <c r="V102" s="370"/>
      <c r="W102" s="372"/>
      <c r="X102" s="370"/>
      <c r="Y102" s="370"/>
      <c r="Z102" s="370"/>
      <c r="AA102" s="370"/>
      <c r="AB102" s="370"/>
      <c r="AC102" s="370"/>
      <c r="AD102" s="370"/>
      <c r="AE102" s="370"/>
      <c r="AF102" s="370"/>
      <c r="AG102" s="370"/>
      <c r="AH102" s="370"/>
      <c r="AI102" s="370"/>
      <c r="AJ102" s="366"/>
      <c r="AK102" s="366"/>
      <c r="AL102" s="360"/>
      <c r="AM102" s="305" t="s">
        <v>823</v>
      </c>
      <c r="AN102" s="305"/>
      <c r="AO102" s="305"/>
      <c r="AP102" s="305"/>
      <c r="AQ102" s="305"/>
      <c r="AR102" s="305"/>
      <c r="AS102" s="305"/>
      <c r="AT102" s="305"/>
      <c r="AU102" s="305"/>
      <c r="AV102" s="305"/>
    </row>
    <row r="103" spans="1:48" s="306" customFormat="1" ht="39" hidden="1">
      <c r="A103" s="304" t="s">
        <v>715</v>
      </c>
      <c r="B103" s="304" t="s">
        <v>713</v>
      </c>
      <c r="C103" s="341" t="s">
        <v>797</v>
      </c>
      <c r="D103" s="284"/>
      <c r="E103" s="284"/>
      <c r="F103" s="284"/>
      <c r="G103" s="284"/>
      <c r="H103" s="284"/>
      <c r="I103" s="284"/>
      <c r="J103" s="366">
        <v>1</v>
      </c>
      <c r="K103" s="370">
        <f t="shared" si="17"/>
        <v>0.35460992907801425</v>
      </c>
      <c r="L103" s="371">
        <v>5</v>
      </c>
      <c r="M103" s="371">
        <v>0</v>
      </c>
      <c r="N103" s="366">
        <f t="shared" si="13"/>
        <v>1</v>
      </c>
      <c r="O103" s="370">
        <f t="shared" si="14"/>
        <v>0</v>
      </c>
      <c r="P103" s="370">
        <f t="shared" si="15"/>
        <v>0</v>
      </c>
      <c r="Q103" s="366">
        <f t="shared" si="18"/>
        <v>1</v>
      </c>
      <c r="R103" s="370">
        <f t="shared" si="12"/>
        <v>0</v>
      </c>
      <c r="S103" s="366">
        <f t="shared" si="19"/>
        <v>0</v>
      </c>
      <c r="T103" s="366">
        <v>0</v>
      </c>
      <c r="U103" s="370">
        <f t="shared" si="16"/>
        <v>0</v>
      </c>
      <c r="V103" s="370"/>
      <c r="W103" s="372"/>
      <c r="X103" s="370"/>
      <c r="Y103" s="370"/>
      <c r="Z103" s="370"/>
      <c r="AA103" s="370"/>
      <c r="AB103" s="370"/>
      <c r="AC103" s="370"/>
      <c r="AD103" s="370"/>
      <c r="AE103" s="370"/>
      <c r="AF103" s="370"/>
      <c r="AG103" s="370"/>
      <c r="AH103" s="370"/>
      <c r="AI103" s="370"/>
      <c r="AJ103" s="366"/>
      <c r="AK103" s="366"/>
      <c r="AL103" s="360"/>
      <c r="AM103" s="305" t="s">
        <v>823</v>
      </c>
      <c r="AN103" s="305"/>
      <c r="AO103" s="305"/>
      <c r="AP103" s="305"/>
      <c r="AQ103" s="305"/>
      <c r="AR103" s="305"/>
      <c r="AS103" s="305"/>
      <c r="AT103" s="305"/>
      <c r="AU103" s="305"/>
      <c r="AV103" s="305"/>
    </row>
    <row r="104" spans="1:48" s="306" customFormat="1" ht="39" hidden="1">
      <c r="A104" s="304" t="s">
        <v>343</v>
      </c>
      <c r="B104" s="304" t="s">
        <v>714</v>
      </c>
      <c r="C104" s="341" t="s">
        <v>797</v>
      </c>
      <c r="D104" s="284"/>
      <c r="E104" s="284"/>
      <c r="F104" s="284"/>
      <c r="G104" s="284"/>
      <c r="H104" s="284"/>
      <c r="I104" s="284"/>
      <c r="J104" s="366">
        <v>1</v>
      </c>
      <c r="K104" s="370">
        <f t="shared" si="17"/>
        <v>7.0921985815602856E-2</v>
      </c>
      <c r="L104" s="371">
        <v>1</v>
      </c>
      <c r="M104" s="371">
        <v>0</v>
      </c>
      <c r="N104" s="366">
        <f t="shared" si="13"/>
        <v>1</v>
      </c>
      <c r="O104" s="370">
        <f t="shared" si="14"/>
        <v>0</v>
      </c>
      <c r="P104" s="370">
        <f t="shared" si="15"/>
        <v>0</v>
      </c>
      <c r="Q104" s="366">
        <f t="shared" si="18"/>
        <v>1</v>
      </c>
      <c r="R104" s="370">
        <f t="shared" si="12"/>
        <v>0</v>
      </c>
      <c r="S104" s="366">
        <f t="shared" si="19"/>
        <v>0</v>
      </c>
      <c r="T104" s="366">
        <v>0</v>
      </c>
      <c r="U104" s="370">
        <f t="shared" si="16"/>
        <v>0</v>
      </c>
      <c r="V104" s="370"/>
      <c r="W104" s="372"/>
      <c r="X104" s="370"/>
      <c r="Y104" s="370"/>
      <c r="Z104" s="370"/>
      <c r="AA104" s="370"/>
      <c r="AB104" s="370"/>
      <c r="AC104" s="370"/>
      <c r="AD104" s="370"/>
      <c r="AE104" s="370"/>
      <c r="AF104" s="370"/>
      <c r="AG104" s="370"/>
      <c r="AH104" s="370"/>
      <c r="AI104" s="370"/>
      <c r="AJ104" s="366"/>
      <c r="AK104" s="366"/>
      <c r="AL104" s="360"/>
      <c r="AM104" s="305" t="s">
        <v>823</v>
      </c>
      <c r="AN104" s="305"/>
      <c r="AO104" s="305"/>
      <c r="AP104" s="305"/>
      <c r="AQ104" s="305"/>
      <c r="AR104" s="305"/>
      <c r="AS104" s="305"/>
      <c r="AT104" s="305"/>
      <c r="AU104" s="305"/>
      <c r="AV104" s="305"/>
    </row>
    <row r="105" spans="1:48" s="306" customFormat="1" ht="58.5" hidden="1">
      <c r="A105" s="304" t="s">
        <v>716</v>
      </c>
      <c r="B105" s="304" t="s">
        <v>717</v>
      </c>
      <c r="C105" s="341" t="s">
        <v>797</v>
      </c>
      <c r="D105" s="284"/>
      <c r="E105" s="284"/>
      <c r="F105" s="284"/>
      <c r="G105" s="284"/>
      <c r="H105" s="284"/>
      <c r="I105" s="284"/>
      <c r="J105" s="366">
        <v>1</v>
      </c>
      <c r="K105" s="370">
        <f t="shared" si="17"/>
        <v>0.35460992907801425</v>
      </c>
      <c r="L105" s="371">
        <v>5</v>
      </c>
      <c r="M105" s="371">
        <v>0</v>
      </c>
      <c r="N105" s="366">
        <f t="shared" si="13"/>
        <v>1</v>
      </c>
      <c r="O105" s="370">
        <f t="shared" si="14"/>
        <v>0</v>
      </c>
      <c r="P105" s="370">
        <f t="shared" si="15"/>
        <v>0</v>
      </c>
      <c r="Q105" s="366">
        <f t="shared" si="18"/>
        <v>1</v>
      </c>
      <c r="R105" s="370">
        <f t="shared" si="12"/>
        <v>0</v>
      </c>
      <c r="S105" s="366">
        <f t="shared" si="19"/>
        <v>0</v>
      </c>
      <c r="T105" s="366">
        <v>0</v>
      </c>
      <c r="U105" s="370">
        <f t="shared" si="16"/>
        <v>0</v>
      </c>
      <c r="V105" s="370"/>
      <c r="W105" s="372"/>
      <c r="X105" s="370"/>
      <c r="Y105" s="370"/>
      <c r="Z105" s="370"/>
      <c r="AA105" s="370"/>
      <c r="AB105" s="370"/>
      <c r="AC105" s="370"/>
      <c r="AD105" s="370"/>
      <c r="AE105" s="370"/>
      <c r="AF105" s="370"/>
      <c r="AG105" s="370"/>
      <c r="AH105" s="370"/>
      <c r="AI105" s="370"/>
      <c r="AJ105" s="366"/>
      <c r="AK105" s="366"/>
      <c r="AL105" s="360"/>
      <c r="AM105" s="305" t="s">
        <v>823</v>
      </c>
      <c r="AN105" s="305"/>
      <c r="AO105" s="305"/>
      <c r="AP105" s="305"/>
      <c r="AQ105" s="305"/>
      <c r="AR105" s="305"/>
      <c r="AS105" s="305"/>
      <c r="AT105" s="305"/>
      <c r="AU105" s="305"/>
      <c r="AV105" s="305"/>
    </row>
    <row r="106" spans="1:48" s="306" customFormat="1" ht="78" hidden="1">
      <c r="A106" s="304" t="s">
        <v>718</v>
      </c>
      <c r="B106" s="304" t="s">
        <v>719</v>
      </c>
      <c r="C106" s="341" t="s">
        <v>797</v>
      </c>
      <c r="D106" s="284"/>
      <c r="E106" s="284"/>
      <c r="F106" s="284"/>
      <c r="G106" s="284"/>
      <c r="H106" s="284"/>
      <c r="I106" s="284"/>
      <c r="J106" s="366">
        <v>1</v>
      </c>
      <c r="K106" s="370">
        <f t="shared" si="17"/>
        <v>0.35460992907801425</v>
      </c>
      <c r="L106" s="371">
        <v>5</v>
      </c>
      <c r="M106" s="371">
        <v>0</v>
      </c>
      <c r="N106" s="366">
        <f t="shared" si="13"/>
        <v>1</v>
      </c>
      <c r="O106" s="370">
        <f t="shared" si="14"/>
        <v>0</v>
      </c>
      <c r="P106" s="370">
        <f t="shared" si="15"/>
        <v>0</v>
      </c>
      <c r="Q106" s="366">
        <f t="shared" si="18"/>
        <v>1</v>
      </c>
      <c r="R106" s="370">
        <f t="shared" si="12"/>
        <v>0</v>
      </c>
      <c r="S106" s="366">
        <f t="shared" si="19"/>
        <v>0</v>
      </c>
      <c r="T106" s="366">
        <v>0</v>
      </c>
      <c r="U106" s="370">
        <f t="shared" si="16"/>
        <v>0</v>
      </c>
      <c r="V106" s="370"/>
      <c r="W106" s="372"/>
      <c r="X106" s="370"/>
      <c r="Y106" s="370"/>
      <c r="Z106" s="370"/>
      <c r="AA106" s="370"/>
      <c r="AB106" s="370"/>
      <c r="AC106" s="370"/>
      <c r="AD106" s="370"/>
      <c r="AE106" s="370"/>
      <c r="AF106" s="370"/>
      <c r="AG106" s="370"/>
      <c r="AH106" s="370"/>
      <c r="AI106" s="370"/>
      <c r="AJ106" s="366"/>
      <c r="AK106" s="366"/>
      <c r="AL106" s="360"/>
      <c r="AM106" s="305" t="s">
        <v>823</v>
      </c>
      <c r="AN106" s="305"/>
      <c r="AO106" s="305"/>
      <c r="AP106" s="305"/>
      <c r="AQ106" s="305"/>
      <c r="AR106" s="305"/>
      <c r="AS106" s="305"/>
      <c r="AT106" s="305"/>
      <c r="AU106" s="305"/>
      <c r="AV106" s="305"/>
    </row>
    <row r="107" spans="1:48" s="306" customFormat="1" ht="39" hidden="1">
      <c r="A107" s="304" t="s">
        <v>345</v>
      </c>
      <c r="B107" s="304" t="s">
        <v>720</v>
      </c>
      <c r="C107" s="341" t="s">
        <v>797</v>
      </c>
      <c r="D107" s="284"/>
      <c r="E107" s="284"/>
      <c r="F107" s="284"/>
      <c r="G107" s="284"/>
      <c r="H107" s="284"/>
      <c r="I107" s="284"/>
      <c r="J107" s="366">
        <v>0.1</v>
      </c>
      <c r="K107" s="370">
        <f t="shared" si="17"/>
        <v>7.0921985815602853E-3</v>
      </c>
      <c r="L107" s="371">
        <v>0.1</v>
      </c>
      <c r="M107" s="371">
        <v>0</v>
      </c>
      <c r="N107" s="366">
        <f t="shared" si="13"/>
        <v>0.1</v>
      </c>
      <c r="O107" s="370">
        <f t="shared" si="14"/>
        <v>0</v>
      </c>
      <c r="P107" s="370">
        <f t="shared" si="15"/>
        <v>0</v>
      </c>
      <c r="Q107" s="366">
        <f t="shared" si="18"/>
        <v>0.1</v>
      </c>
      <c r="R107" s="370">
        <f t="shared" si="12"/>
        <v>0</v>
      </c>
      <c r="S107" s="366">
        <f t="shared" si="19"/>
        <v>0</v>
      </c>
      <c r="T107" s="366">
        <v>0</v>
      </c>
      <c r="U107" s="370">
        <f t="shared" si="16"/>
        <v>0</v>
      </c>
      <c r="V107" s="370"/>
      <c r="W107" s="372"/>
      <c r="X107" s="370"/>
      <c r="Y107" s="370"/>
      <c r="Z107" s="370"/>
      <c r="AA107" s="370"/>
      <c r="AB107" s="370"/>
      <c r="AC107" s="370"/>
      <c r="AD107" s="370"/>
      <c r="AE107" s="370"/>
      <c r="AF107" s="370"/>
      <c r="AG107" s="370"/>
      <c r="AH107" s="370"/>
      <c r="AI107" s="370"/>
      <c r="AJ107" s="366"/>
      <c r="AK107" s="366"/>
      <c r="AL107" s="360"/>
      <c r="AM107" s="305" t="s">
        <v>823</v>
      </c>
      <c r="AN107" s="305"/>
      <c r="AO107" s="305"/>
      <c r="AP107" s="305"/>
      <c r="AQ107" s="305"/>
      <c r="AR107" s="305"/>
      <c r="AS107" s="305"/>
      <c r="AT107" s="305"/>
      <c r="AU107" s="305"/>
      <c r="AV107" s="305"/>
    </row>
    <row r="108" spans="1:48" s="306" customFormat="1" ht="39" hidden="1">
      <c r="A108" s="304" t="s">
        <v>347</v>
      </c>
      <c r="B108" s="304" t="s">
        <v>721</v>
      </c>
      <c r="C108" s="341" t="s">
        <v>797</v>
      </c>
      <c r="D108" s="284"/>
      <c r="E108" s="284"/>
      <c r="F108" s="284"/>
      <c r="G108" s="284"/>
      <c r="H108" s="284"/>
      <c r="I108" s="284"/>
      <c r="J108" s="366">
        <v>1</v>
      </c>
      <c r="K108" s="370">
        <f t="shared" si="17"/>
        <v>7.0921985815602856E-2</v>
      </c>
      <c r="L108" s="371">
        <v>1</v>
      </c>
      <c r="M108" s="371">
        <v>0</v>
      </c>
      <c r="N108" s="366">
        <f t="shared" si="13"/>
        <v>1</v>
      </c>
      <c r="O108" s="370">
        <f t="shared" si="14"/>
        <v>0</v>
      </c>
      <c r="P108" s="370">
        <f t="shared" si="15"/>
        <v>0</v>
      </c>
      <c r="Q108" s="366">
        <f t="shared" si="18"/>
        <v>1</v>
      </c>
      <c r="R108" s="370">
        <f t="shared" si="12"/>
        <v>0</v>
      </c>
      <c r="S108" s="366">
        <f t="shared" si="19"/>
        <v>0</v>
      </c>
      <c r="T108" s="366">
        <v>0</v>
      </c>
      <c r="U108" s="370">
        <f t="shared" si="16"/>
        <v>0</v>
      </c>
      <c r="V108" s="370"/>
      <c r="W108" s="372"/>
      <c r="X108" s="370"/>
      <c r="Y108" s="370"/>
      <c r="Z108" s="370"/>
      <c r="AA108" s="370"/>
      <c r="AB108" s="370"/>
      <c r="AC108" s="370"/>
      <c r="AD108" s="370"/>
      <c r="AE108" s="370"/>
      <c r="AF108" s="370"/>
      <c r="AG108" s="370"/>
      <c r="AH108" s="370"/>
      <c r="AI108" s="370"/>
      <c r="AJ108" s="366"/>
      <c r="AK108" s="366"/>
      <c r="AL108" s="360"/>
      <c r="AM108" s="305" t="s">
        <v>823</v>
      </c>
      <c r="AN108" s="305"/>
      <c r="AO108" s="305"/>
      <c r="AP108" s="305"/>
      <c r="AQ108" s="305"/>
      <c r="AR108" s="305"/>
      <c r="AS108" s="305"/>
      <c r="AT108" s="305"/>
      <c r="AU108" s="305"/>
      <c r="AV108" s="305"/>
    </row>
    <row r="109" spans="1:48" s="306" customFormat="1" ht="58.5" hidden="1">
      <c r="A109" s="304" t="s">
        <v>349</v>
      </c>
      <c r="B109" s="304" t="s">
        <v>722</v>
      </c>
      <c r="C109" s="341" t="s">
        <v>797</v>
      </c>
      <c r="D109" s="284"/>
      <c r="E109" s="284"/>
      <c r="F109" s="284"/>
      <c r="G109" s="284"/>
      <c r="H109" s="284"/>
      <c r="I109" s="284"/>
      <c r="J109" s="366">
        <v>1</v>
      </c>
      <c r="K109" s="370">
        <f t="shared" si="17"/>
        <v>7.0921985815602856E-2</v>
      </c>
      <c r="L109" s="371">
        <v>1</v>
      </c>
      <c r="M109" s="371">
        <v>0</v>
      </c>
      <c r="N109" s="366">
        <f t="shared" si="13"/>
        <v>1</v>
      </c>
      <c r="O109" s="370">
        <f t="shared" si="14"/>
        <v>0</v>
      </c>
      <c r="P109" s="370">
        <f t="shared" si="15"/>
        <v>0</v>
      </c>
      <c r="Q109" s="366">
        <f t="shared" si="18"/>
        <v>1</v>
      </c>
      <c r="R109" s="370">
        <f t="shared" si="12"/>
        <v>0</v>
      </c>
      <c r="S109" s="366">
        <f t="shared" si="19"/>
        <v>0</v>
      </c>
      <c r="T109" s="366">
        <v>0</v>
      </c>
      <c r="U109" s="370">
        <f t="shared" si="16"/>
        <v>0</v>
      </c>
      <c r="V109" s="370"/>
      <c r="W109" s="372"/>
      <c r="X109" s="370"/>
      <c r="Y109" s="370"/>
      <c r="Z109" s="370"/>
      <c r="AA109" s="370"/>
      <c r="AB109" s="370"/>
      <c r="AC109" s="370"/>
      <c r="AD109" s="370"/>
      <c r="AE109" s="370"/>
      <c r="AF109" s="370"/>
      <c r="AG109" s="370"/>
      <c r="AH109" s="370"/>
      <c r="AI109" s="370"/>
      <c r="AJ109" s="366"/>
      <c r="AK109" s="366"/>
      <c r="AL109" s="360"/>
      <c r="AM109" s="305" t="s">
        <v>823</v>
      </c>
      <c r="AN109" s="305"/>
      <c r="AO109" s="305"/>
      <c r="AP109" s="305"/>
      <c r="AQ109" s="305"/>
      <c r="AR109" s="305"/>
      <c r="AS109" s="305"/>
      <c r="AT109" s="305"/>
      <c r="AU109" s="305"/>
      <c r="AV109" s="305"/>
    </row>
    <row r="110" spans="1:48" s="306" customFormat="1" ht="58.5" hidden="1">
      <c r="A110" s="304" t="s">
        <v>351</v>
      </c>
      <c r="B110" s="304" t="s">
        <v>723</v>
      </c>
      <c r="C110" s="341" t="s">
        <v>797</v>
      </c>
      <c r="D110" s="284"/>
      <c r="E110" s="284"/>
      <c r="F110" s="284"/>
      <c r="G110" s="284"/>
      <c r="H110" s="284"/>
      <c r="I110" s="284"/>
      <c r="J110" s="366">
        <v>5.55</v>
      </c>
      <c r="K110" s="370">
        <f t="shared" si="17"/>
        <v>0.39361702127659576</v>
      </c>
      <c r="L110" s="371">
        <v>5.55</v>
      </c>
      <c r="M110" s="371">
        <v>3.5</v>
      </c>
      <c r="N110" s="366">
        <f t="shared" si="13"/>
        <v>5.55</v>
      </c>
      <c r="O110" s="370">
        <f t="shared" si="14"/>
        <v>0.49645390070921996</v>
      </c>
      <c r="P110" s="370">
        <f t="shared" si="15"/>
        <v>3.5</v>
      </c>
      <c r="Q110" s="366">
        <f t="shared" si="18"/>
        <v>5.55</v>
      </c>
      <c r="R110" s="370">
        <f t="shared" si="12"/>
        <v>0.49645390070921996</v>
      </c>
      <c r="S110" s="366">
        <f t="shared" si="19"/>
        <v>100</v>
      </c>
      <c r="T110" s="366">
        <v>3.38</v>
      </c>
      <c r="U110" s="370">
        <f t="shared" si="16"/>
        <v>96.571428571428569</v>
      </c>
      <c r="V110" s="370"/>
      <c r="W110" s="372"/>
      <c r="X110" s="370"/>
      <c r="Y110" s="370"/>
      <c r="Z110" s="370"/>
      <c r="AA110" s="370"/>
      <c r="AB110" s="370"/>
      <c r="AC110" s="370"/>
      <c r="AD110" s="370"/>
      <c r="AE110" s="370"/>
      <c r="AF110" s="370"/>
      <c r="AG110" s="370"/>
      <c r="AH110" s="370"/>
      <c r="AI110" s="370"/>
      <c r="AJ110" s="366"/>
      <c r="AK110" s="366"/>
      <c r="AL110" s="360"/>
      <c r="AM110" s="305" t="s">
        <v>823</v>
      </c>
      <c r="AN110" s="305"/>
      <c r="AO110" s="305"/>
      <c r="AP110" s="305"/>
      <c r="AQ110" s="305"/>
      <c r="AR110" s="305"/>
      <c r="AS110" s="305"/>
      <c r="AT110" s="305"/>
      <c r="AU110" s="305"/>
      <c r="AV110" s="305"/>
    </row>
    <row r="111" spans="1:48" s="306" customFormat="1" ht="58.5" hidden="1">
      <c r="A111" s="304" t="s">
        <v>353</v>
      </c>
      <c r="B111" s="304" t="s">
        <v>724</v>
      </c>
      <c r="C111" s="341" t="s">
        <v>797</v>
      </c>
      <c r="D111" s="284"/>
      <c r="E111" s="284"/>
      <c r="F111" s="284"/>
      <c r="G111" s="284"/>
      <c r="H111" s="284"/>
      <c r="I111" s="284"/>
      <c r="J111" s="366">
        <v>1</v>
      </c>
      <c r="K111" s="370">
        <f t="shared" si="17"/>
        <v>7.0921985815602856E-2</v>
      </c>
      <c r="L111" s="371">
        <v>1</v>
      </c>
      <c r="M111" s="371">
        <v>0</v>
      </c>
      <c r="N111" s="366">
        <f t="shared" si="13"/>
        <v>1</v>
      </c>
      <c r="O111" s="370">
        <f t="shared" si="14"/>
        <v>0</v>
      </c>
      <c r="P111" s="370">
        <f t="shared" si="15"/>
        <v>0</v>
      </c>
      <c r="Q111" s="366">
        <f t="shared" si="18"/>
        <v>1</v>
      </c>
      <c r="R111" s="370">
        <f t="shared" si="12"/>
        <v>0</v>
      </c>
      <c r="S111" s="366">
        <f t="shared" si="19"/>
        <v>0</v>
      </c>
      <c r="T111" s="366">
        <v>0</v>
      </c>
      <c r="U111" s="370">
        <f t="shared" si="16"/>
        <v>0</v>
      </c>
      <c r="V111" s="370"/>
      <c r="W111" s="372"/>
      <c r="X111" s="370"/>
      <c r="Y111" s="370"/>
      <c r="Z111" s="370"/>
      <c r="AA111" s="370"/>
      <c r="AB111" s="370"/>
      <c r="AC111" s="370"/>
      <c r="AD111" s="370"/>
      <c r="AE111" s="370"/>
      <c r="AF111" s="370"/>
      <c r="AG111" s="370"/>
      <c r="AH111" s="370"/>
      <c r="AI111" s="370"/>
      <c r="AJ111" s="366"/>
      <c r="AK111" s="366"/>
      <c r="AL111" s="360"/>
      <c r="AM111" s="305" t="s">
        <v>823</v>
      </c>
      <c r="AN111" s="305"/>
      <c r="AO111" s="305"/>
      <c r="AP111" s="305"/>
      <c r="AQ111" s="305"/>
      <c r="AR111" s="305"/>
      <c r="AS111" s="305"/>
      <c r="AT111" s="305"/>
      <c r="AU111" s="305"/>
      <c r="AV111" s="305"/>
    </row>
    <row r="112" spans="1:48" s="306" customFormat="1" ht="58.5" hidden="1">
      <c r="A112" s="304" t="s">
        <v>355</v>
      </c>
      <c r="B112" s="304" t="s">
        <v>725</v>
      </c>
      <c r="C112" s="341" t="s">
        <v>797</v>
      </c>
      <c r="D112" s="284"/>
      <c r="E112" s="284"/>
      <c r="F112" s="284"/>
      <c r="G112" s="284"/>
      <c r="H112" s="284"/>
      <c r="I112" s="284"/>
      <c r="J112" s="366">
        <v>1</v>
      </c>
      <c r="K112" s="370">
        <f t="shared" si="17"/>
        <v>7.0921985815602856E-2</v>
      </c>
      <c r="L112" s="371">
        <v>1</v>
      </c>
      <c r="M112" s="371">
        <v>0</v>
      </c>
      <c r="N112" s="366">
        <f t="shared" si="13"/>
        <v>1</v>
      </c>
      <c r="O112" s="370">
        <f t="shared" si="14"/>
        <v>0</v>
      </c>
      <c r="P112" s="370">
        <f t="shared" si="15"/>
        <v>0</v>
      </c>
      <c r="Q112" s="366">
        <f t="shared" si="18"/>
        <v>1</v>
      </c>
      <c r="R112" s="370">
        <f t="shared" si="12"/>
        <v>0</v>
      </c>
      <c r="S112" s="366">
        <f t="shared" si="19"/>
        <v>0</v>
      </c>
      <c r="T112" s="366">
        <v>0</v>
      </c>
      <c r="U112" s="370">
        <f t="shared" si="16"/>
        <v>0</v>
      </c>
      <c r="V112" s="370"/>
      <c r="W112" s="372"/>
      <c r="X112" s="370"/>
      <c r="Y112" s="370"/>
      <c r="Z112" s="370"/>
      <c r="AA112" s="370"/>
      <c r="AB112" s="370"/>
      <c r="AC112" s="370"/>
      <c r="AD112" s="370"/>
      <c r="AE112" s="370"/>
      <c r="AF112" s="370"/>
      <c r="AG112" s="370"/>
      <c r="AH112" s="370"/>
      <c r="AI112" s="370"/>
      <c r="AJ112" s="366"/>
      <c r="AK112" s="366"/>
      <c r="AL112" s="360"/>
      <c r="AM112" s="305" t="s">
        <v>823</v>
      </c>
      <c r="AN112" s="305"/>
      <c r="AO112" s="305"/>
      <c r="AP112" s="305"/>
      <c r="AQ112" s="305"/>
      <c r="AR112" s="305"/>
      <c r="AS112" s="305"/>
      <c r="AT112" s="305"/>
      <c r="AU112" s="305"/>
      <c r="AV112" s="305"/>
    </row>
    <row r="113" spans="1:48" s="306" customFormat="1" ht="58.5" hidden="1">
      <c r="A113" s="304" t="s">
        <v>357</v>
      </c>
      <c r="B113" s="304" t="s">
        <v>726</v>
      </c>
      <c r="C113" s="341" t="s">
        <v>797</v>
      </c>
      <c r="D113" s="284"/>
      <c r="E113" s="284"/>
      <c r="F113" s="284"/>
      <c r="G113" s="284"/>
      <c r="H113" s="284"/>
      <c r="I113" s="284"/>
      <c r="J113" s="366">
        <v>1</v>
      </c>
      <c r="K113" s="370">
        <f t="shared" si="17"/>
        <v>7.0921985815602856E-2</v>
      </c>
      <c r="L113" s="371">
        <v>1</v>
      </c>
      <c r="M113" s="371">
        <v>0</v>
      </c>
      <c r="N113" s="366">
        <f t="shared" si="13"/>
        <v>1</v>
      </c>
      <c r="O113" s="370">
        <f t="shared" si="14"/>
        <v>0</v>
      </c>
      <c r="P113" s="370">
        <f t="shared" si="15"/>
        <v>0</v>
      </c>
      <c r="Q113" s="366">
        <f t="shared" si="18"/>
        <v>1</v>
      </c>
      <c r="R113" s="370">
        <f t="shared" si="12"/>
        <v>0</v>
      </c>
      <c r="S113" s="366">
        <f t="shared" si="19"/>
        <v>0</v>
      </c>
      <c r="T113" s="366">
        <v>0</v>
      </c>
      <c r="U113" s="370">
        <f t="shared" si="16"/>
        <v>0</v>
      </c>
      <c r="V113" s="370"/>
      <c r="W113" s="372"/>
      <c r="X113" s="370"/>
      <c r="Y113" s="370"/>
      <c r="Z113" s="370"/>
      <c r="AA113" s="370"/>
      <c r="AB113" s="370"/>
      <c r="AC113" s="370"/>
      <c r="AD113" s="370"/>
      <c r="AE113" s="370"/>
      <c r="AF113" s="370"/>
      <c r="AG113" s="370"/>
      <c r="AH113" s="370"/>
      <c r="AI113" s="370"/>
      <c r="AJ113" s="366"/>
      <c r="AK113" s="366"/>
      <c r="AL113" s="360"/>
      <c r="AM113" s="305" t="s">
        <v>823</v>
      </c>
      <c r="AN113" s="305"/>
      <c r="AO113" s="305"/>
      <c r="AP113" s="305"/>
      <c r="AQ113" s="305"/>
      <c r="AR113" s="305"/>
      <c r="AS113" s="305"/>
      <c r="AT113" s="305"/>
      <c r="AU113" s="305"/>
      <c r="AV113" s="305"/>
    </row>
    <row r="114" spans="1:48" s="306" customFormat="1" ht="39" hidden="1">
      <c r="A114" s="304" t="s">
        <v>359</v>
      </c>
      <c r="B114" s="304" t="s">
        <v>727</v>
      </c>
      <c r="C114" s="341" t="s">
        <v>797</v>
      </c>
      <c r="D114" s="284"/>
      <c r="E114" s="284"/>
      <c r="F114" s="284"/>
      <c r="G114" s="284"/>
      <c r="H114" s="284"/>
      <c r="I114" s="284"/>
      <c r="J114" s="366">
        <v>5</v>
      </c>
      <c r="K114" s="370">
        <f t="shared" si="17"/>
        <v>0.35460992907801425</v>
      </c>
      <c r="L114" s="371">
        <v>5</v>
      </c>
      <c r="M114" s="371">
        <v>5</v>
      </c>
      <c r="N114" s="366">
        <f t="shared" si="13"/>
        <v>5</v>
      </c>
      <c r="O114" s="370">
        <f t="shared" si="14"/>
        <v>0.7092198581560285</v>
      </c>
      <c r="P114" s="370">
        <f t="shared" si="15"/>
        <v>5</v>
      </c>
      <c r="Q114" s="366">
        <f t="shared" si="18"/>
        <v>5</v>
      </c>
      <c r="R114" s="370">
        <f t="shared" si="12"/>
        <v>0.7092198581560285</v>
      </c>
      <c r="S114" s="366">
        <f t="shared" si="19"/>
        <v>100</v>
      </c>
      <c r="T114" s="366">
        <v>4.91</v>
      </c>
      <c r="U114" s="370">
        <f t="shared" si="16"/>
        <v>98.2</v>
      </c>
      <c r="V114" s="370"/>
      <c r="W114" s="372"/>
      <c r="X114" s="370"/>
      <c r="Y114" s="370"/>
      <c r="Z114" s="370"/>
      <c r="AA114" s="370"/>
      <c r="AB114" s="370"/>
      <c r="AC114" s="370"/>
      <c r="AD114" s="370"/>
      <c r="AE114" s="370"/>
      <c r="AF114" s="370"/>
      <c r="AG114" s="370"/>
      <c r="AH114" s="370"/>
      <c r="AI114" s="370"/>
      <c r="AJ114" s="366"/>
      <c r="AK114" s="366"/>
      <c r="AL114" s="360"/>
      <c r="AM114" s="305" t="s">
        <v>823</v>
      </c>
      <c r="AN114" s="305"/>
      <c r="AO114" s="305"/>
      <c r="AP114" s="305"/>
      <c r="AQ114" s="305"/>
      <c r="AR114" s="305"/>
      <c r="AS114" s="305"/>
      <c r="AT114" s="305"/>
      <c r="AU114" s="305"/>
      <c r="AV114" s="305"/>
    </row>
    <row r="115" spans="1:48" s="306" customFormat="1" ht="31.15" hidden="1" customHeight="1">
      <c r="A115" s="304" t="s">
        <v>361</v>
      </c>
      <c r="B115" s="304" t="s">
        <v>728</v>
      </c>
      <c r="C115" s="341" t="s">
        <v>797</v>
      </c>
      <c r="D115" s="284"/>
      <c r="E115" s="284"/>
      <c r="F115" s="284"/>
      <c r="G115" s="284"/>
      <c r="H115" s="284"/>
      <c r="I115" s="284"/>
      <c r="J115" s="366">
        <v>0.5</v>
      </c>
      <c r="K115" s="370">
        <f t="shared" si="17"/>
        <v>0.24822695035460998</v>
      </c>
      <c r="L115" s="371">
        <v>3.5</v>
      </c>
      <c r="M115" s="371">
        <v>0</v>
      </c>
      <c r="N115" s="366">
        <f t="shared" si="13"/>
        <v>0.5</v>
      </c>
      <c r="O115" s="370">
        <f t="shared" si="14"/>
        <v>0</v>
      </c>
      <c r="P115" s="370">
        <f t="shared" si="15"/>
        <v>0</v>
      </c>
      <c r="Q115" s="366">
        <f t="shared" si="18"/>
        <v>0.5</v>
      </c>
      <c r="R115" s="370">
        <f t="shared" si="12"/>
        <v>0</v>
      </c>
      <c r="S115" s="366">
        <f t="shared" si="19"/>
        <v>0</v>
      </c>
      <c r="T115" s="366">
        <v>0</v>
      </c>
      <c r="U115" s="370">
        <f t="shared" si="16"/>
        <v>0</v>
      </c>
      <c r="V115" s="370"/>
      <c r="W115" s="372"/>
      <c r="X115" s="370"/>
      <c r="Y115" s="370"/>
      <c r="Z115" s="370"/>
      <c r="AA115" s="370"/>
      <c r="AB115" s="370"/>
      <c r="AC115" s="370"/>
      <c r="AD115" s="370"/>
      <c r="AE115" s="370"/>
      <c r="AF115" s="370"/>
      <c r="AG115" s="370"/>
      <c r="AH115" s="370"/>
      <c r="AI115" s="370"/>
      <c r="AJ115" s="366"/>
      <c r="AK115" s="366"/>
      <c r="AL115" s="360"/>
      <c r="AM115" s="305" t="s">
        <v>823</v>
      </c>
      <c r="AN115" s="305"/>
      <c r="AO115" s="305"/>
      <c r="AP115" s="305"/>
      <c r="AQ115" s="305"/>
      <c r="AR115" s="305"/>
      <c r="AS115" s="305"/>
      <c r="AT115" s="305"/>
      <c r="AU115" s="305"/>
      <c r="AV115" s="305"/>
    </row>
    <row r="116" spans="1:48" s="306" customFormat="1" ht="39" hidden="1">
      <c r="A116" s="304" t="s">
        <v>363</v>
      </c>
      <c r="B116" s="304" t="s">
        <v>729</v>
      </c>
      <c r="C116" s="341" t="s">
        <v>797</v>
      </c>
      <c r="D116" s="284"/>
      <c r="E116" s="284"/>
      <c r="F116" s="284"/>
      <c r="G116" s="284"/>
      <c r="H116" s="284"/>
      <c r="I116" s="284"/>
      <c r="J116" s="366">
        <v>5</v>
      </c>
      <c r="K116" s="370">
        <f t="shared" si="17"/>
        <v>0.35460992907801425</v>
      </c>
      <c r="L116" s="371">
        <v>5</v>
      </c>
      <c r="M116" s="371">
        <v>5</v>
      </c>
      <c r="N116" s="366">
        <f t="shared" si="13"/>
        <v>5</v>
      </c>
      <c r="O116" s="370">
        <f t="shared" si="14"/>
        <v>0.7092198581560285</v>
      </c>
      <c r="P116" s="370">
        <f t="shared" si="15"/>
        <v>5</v>
      </c>
      <c r="Q116" s="366">
        <f t="shared" si="18"/>
        <v>5</v>
      </c>
      <c r="R116" s="370">
        <f t="shared" si="12"/>
        <v>0.7092198581560285</v>
      </c>
      <c r="S116" s="366">
        <f t="shared" si="19"/>
        <v>100</v>
      </c>
      <c r="T116" s="366">
        <v>4.96</v>
      </c>
      <c r="U116" s="370">
        <f t="shared" si="16"/>
        <v>99.2</v>
      </c>
      <c r="V116" s="370"/>
      <c r="W116" s="372"/>
      <c r="X116" s="370"/>
      <c r="Y116" s="370"/>
      <c r="Z116" s="370"/>
      <c r="AA116" s="370"/>
      <c r="AB116" s="370"/>
      <c r="AC116" s="370"/>
      <c r="AD116" s="370"/>
      <c r="AE116" s="370"/>
      <c r="AF116" s="370"/>
      <c r="AG116" s="370"/>
      <c r="AH116" s="370"/>
      <c r="AI116" s="370"/>
      <c r="AJ116" s="366"/>
      <c r="AK116" s="366"/>
      <c r="AL116" s="360"/>
      <c r="AM116" s="305" t="s">
        <v>823</v>
      </c>
      <c r="AN116" s="305"/>
      <c r="AO116" s="305"/>
      <c r="AP116" s="305"/>
      <c r="AQ116" s="305"/>
      <c r="AR116" s="305"/>
      <c r="AS116" s="305"/>
      <c r="AT116" s="305"/>
      <c r="AU116" s="305"/>
      <c r="AV116" s="305"/>
    </row>
    <row r="117" spans="1:48" s="306" customFormat="1" ht="58.5" hidden="1">
      <c r="A117" s="304" t="s">
        <v>365</v>
      </c>
      <c r="B117" s="304" t="s">
        <v>730</v>
      </c>
      <c r="C117" s="341" t="s">
        <v>797</v>
      </c>
      <c r="D117" s="284"/>
      <c r="E117" s="284"/>
      <c r="F117" s="284"/>
      <c r="G117" s="284"/>
      <c r="H117" s="284"/>
      <c r="I117" s="284"/>
      <c r="J117" s="366">
        <v>1</v>
      </c>
      <c r="K117" s="370">
        <f t="shared" si="17"/>
        <v>7.0921985815602856E-2</v>
      </c>
      <c r="L117" s="371">
        <v>1</v>
      </c>
      <c r="M117" s="371">
        <v>0</v>
      </c>
      <c r="N117" s="366">
        <f t="shared" si="13"/>
        <v>1</v>
      </c>
      <c r="O117" s="370">
        <f t="shared" si="14"/>
        <v>0</v>
      </c>
      <c r="P117" s="370">
        <f t="shared" si="15"/>
        <v>0</v>
      </c>
      <c r="Q117" s="366">
        <f t="shared" si="18"/>
        <v>1</v>
      </c>
      <c r="R117" s="370">
        <f t="shared" si="12"/>
        <v>0</v>
      </c>
      <c r="S117" s="366">
        <f t="shared" si="19"/>
        <v>0</v>
      </c>
      <c r="T117" s="366">
        <v>0</v>
      </c>
      <c r="U117" s="370">
        <f t="shared" si="16"/>
        <v>0</v>
      </c>
      <c r="V117" s="370"/>
      <c r="W117" s="372"/>
      <c r="X117" s="370"/>
      <c r="Y117" s="370"/>
      <c r="Z117" s="370"/>
      <c r="AA117" s="370"/>
      <c r="AB117" s="370"/>
      <c r="AC117" s="370"/>
      <c r="AD117" s="370"/>
      <c r="AE117" s="370"/>
      <c r="AF117" s="370"/>
      <c r="AG117" s="370"/>
      <c r="AH117" s="370"/>
      <c r="AI117" s="370"/>
      <c r="AJ117" s="366"/>
      <c r="AK117" s="366"/>
      <c r="AL117" s="360"/>
      <c r="AM117" s="305" t="s">
        <v>823</v>
      </c>
      <c r="AN117" s="305"/>
      <c r="AO117" s="305"/>
      <c r="AP117" s="305"/>
      <c r="AQ117" s="305"/>
      <c r="AR117" s="305"/>
      <c r="AS117" s="305"/>
      <c r="AT117" s="305"/>
      <c r="AU117" s="305"/>
      <c r="AV117" s="305"/>
    </row>
    <row r="118" spans="1:48" s="306" customFormat="1" ht="39" hidden="1">
      <c r="A118" s="304" t="s">
        <v>367</v>
      </c>
      <c r="B118" s="304" t="s">
        <v>731</v>
      </c>
      <c r="C118" s="341" t="s">
        <v>797</v>
      </c>
      <c r="D118" s="284"/>
      <c r="E118" s="284"/>
      <c r="F118" s="284"/>
      <c r="G118" s="284"/>
      <c r="H118" s="284"/>
      <c r="I118" s="284"/>
      <c r="J118" s="366">
        <v>0.5</v>
      </c>
      <c r="K118" s="370">
        <f t="shared" si="17"/>
        <v>0.24822695035460998</v>
      </c>
      <c r="L118" s="371">
        <v>3.5</v>
      </c>
      <c r="M118" s="371">
        <v>3.5</v>
      </c>
      <c r="N118" s="366">
        <f t="shared" si="13"/>
        <v>0.5</v>
      </c>
      <c r="O118" s="370">
        <f t="shared" si="14"/>
        <v>0.49645390070921996</v>
      </c>
      <c r="P118" s="370">
        <f t="shared" si="15"/>
        <v>3.5</v>
      </c>
      <c r="Q118" s="366">
        <f t="shared" si="18"/>
        <v>0.5</v>
      </c>
      <c r="R118" s="370">
        <f t="shared" si="12"/>
        <v>0.49645390070921996</v>
      </c>
      <c r="S118" s="366">
        <f t="shared" si="19"/>
        <v>100</v>
      </c>
      <c r="T118" s="366">
        <v>3.5</v>
      </c>
      <c r="U118" s="370">
        <f t="shared" si="16"/>
        <v>100</v>
      </c>
      <c r="V118" s="370"/>
      <c r="W118" s="372"/>
      <c r="X118" s="370"/>
      <c r="Y118" s="370"/>
      <c r="Z118" s="370"/>
      <c r="AA118" s="370"/>
      <c r="AB118" s="370"/>
      <c r="AC118" s="370"/>
      <c r="AD118" s="370"/>
      <c r="AE118" s="370"/>
      <c r="AF118" s="370"/>
      <c r="AG118" s="370"/>
      <c r="AH118" s="370"/>
      <c r="AI118" s="370"/>
      <c r="AJ118" s="366"/>
      <c r="AK118" s="366"/>
      <c r="AL118" s="360"/>
      <c r="AM118" s="305" t="s">
        <v>823</v>
      </c>
      <c r="AN118" s="305"/>
      <c r="AO118" s="305"/>
      <c r="AP118" s="305"/>
      <c r="AQ118" s="305"/>
      <c r="AR118" s="305"/>
      <c r="AS118" s="305"/>
      <c r="AT118" s="305"/>
      <c r="AU118" s="305"/>
      <c r="AV118" s="305"/>
    </row>
    <row r="119" spans="1:48" s="306" customFormat="1" ht="58.5" hidden="1">
      <c r="A119" s="304" t="s">
        <v>369</v>
      </c>
      <c r="B119" s="304" t="s">
        <v>732</v>
      </c>
      <c r="C119" s="341" t="s">
        <v>797</v>
      </c>
      <c r="D119" s="284"/>
      <c r="E119" s="284"/>
      <c r="F119" s="284"/>
      <c r="G119" s="284"/>
      <c r="H119" s="284"/>
      <c r="I119" s="284"/>
      <c r="J119" s="366">
        <v>1</v>
      </c>
      <c r="K119" s="370">
        <f t="shared" si="17"/>
        <v>7.0921985815602856E-2</v>
      </c>
      <c r="L119" s="371">
        <v>1</v>
      </c>
      <c r="M119" s="371">
        <v>0</v>
      </c>
      <c r="N119" s="366">
        <f t="shared" si="13"/>
        <v>1</v>
      </c>
      <c r="O119" s="370">
        <f t="shared" si="14"/>
        <v>0</v>
      </c>
      <c r="P119" s="370">
        <f t="shared" si="15"/>
        <v>0</v>
      </c>
      <c r="Q119" s="366">
        <f t="shared" si="18"/>
        <v>1</v>
      </c>
      <c r="R119" s="370">
        <f t="shared" si="12"/>
        <v>0</v>
      </c>
      <c r="S119" s="366">
        <f t="shared" si="19"/>
        <v>0</v>
      </c>
      <c r="T119" s="366">
        <v>0</v>
      </c>
      <c r="U119" s="370">
        <f t="shared" si="16"/>
        <v>0</v>
      </c>
      <c r="V119" s="370"/>
      <c r="W119" s="372"/>
      <c r="X119" s="370"/>
      <c r="Y119" s="370"/>
      <c r="Z119" s="370"/>
      <c r="AA119" s="370"/>
      <c r="AB119" s="370"/>
      <c r="AC119" s="370"/>
      <c r="AD119" s="370"/>
      <c r="AE119" s="370"/>
      <c r="AF119" s="370"/>
      <c r="AG119" s="370"/>
      <c r="AH119" s="370"/>
      <c r="AI119" s="370"/>
      <c r="AJ119" s="366"/>
      <c r="AK119" s="366"/>
      <c r="AL119" s="360"/>
      <c r="AM119" s="305" t="s">
        <v>823</v>
      </c>
      <c r="AN119" s="305"/>
      <c r="AO119" s="305"/>
      <c r="AP119" s="305"/>
      <c r="AQ119" s="305"/>
      <c r="AR119" s="305"/>
      <c r="AS119" s="305"/>
      <c r="AT119" s="305"/>
      <c r="AU119" s="305"/>
      <c r="AV119" s="305"/>
    </row>
    <row r="120" spans="1:48" s="306" customFormat="1" ht="58.5" hidden="1">
      <c r="A120" s="304" t="s">
        <v>371</v>
      </c>
      <c r="B120" s="304" t="s">
        <v>733</v>
      </c>
      <c r="C120" s="341" t="s">
        <v>797</v>
      </c>
      <c r="D120" s="284"/>
      <c r="E120" s="284"/>
      <c r="F120" s="284"/>
      <c r="G120" s="284"/>
      <c r="H120" s="284"/>
      <c r="I120" s="284"/>
      <c r="J120" s="366">
        <v>2</v>
      </c>
      <c r="K120" s="370">
        <f t="shared" si="17"/>
        <v>0.14184397163120571</v>
      </c>
      <c r="L120" s="371">
        <v>2</v>
      </c>
      <c r="M120" s="371">
        <v>0</v>
      </c>
      <c r="N120" s="366">
        <f t="shared" si="13"/>
        <v>2</v>
      </c>
      <c r="O120" s="370">
        <f t="shared" si="14"/>
        <v>0</v>
      </c>
      <c r="P120" s="370">
        <f t="shared" si="15"/>
        <v>0</v>
      </c>
      <c r="Q120" s="366">
        <f t="shared" si="18"/>
        <v>2</v>
      </c>
      <c r="R120" s="370">
        <f t="shared" si="12"/>
        <v>0</v>
      </c>
      <c r="S120" s="366">
        <f t="shared" si="19"/>
        <v>0</v>
      </c>
      <c r="T120" s="366">
        <v>0</v>
      </c>
      <c r="U120" s="370">
        <f t="shared" si="16"/>
        <v>0</v>
      </c>
      <c r="V120" s="370"/>
      <c r="W120" s="372"/>
      <c r="X120" s="370"/>
      <c r="Y120" s="370"/>
      <c r="Z120" s="370"/>
      <c r="AA120" s="370"/>
      <c r="AB120" s="370"/>
      <c r="AC120" s="370"/>
      <c r="AD120" s="370"/>
      <c r="AE120" s="370"/>
      <c r="AF120" s="370"/>
      <c r="AG120" s="370"/>
      <c r="AH120" s="370"/>
      <c r="AI120" s="370"/>
      <c r="AJ120" s="366"/>
      <c r="AK120" s="366"/>
      <c r="AL120" s="360"/>
      <c r="AM120" s="305" t="s">
        <v>823</v>
      </c>
      <c r="AN120" s="305"/>
      <c r="AO120" s="305"/>
      <c r="AP120" s="305"/>
      <c r="AQ120" s="305"/>
      <c r="AR120" s="305"/>
      <c r="AS120" s="305"/>
      <c r="AT120" s="305"/>
      <c r="AU120" s="305"/>
      <c r="AV120" s="305"/>
    </row>
    <row r="121" spans="1:48" s="306" customFormat="1" ht="58.5" hidden="1">
      <c r="A121" s="304" t="s">
        <v>373</v>
      </c>
      <c r="B121" s="304" t="s">
        <v>734</v>
      </c>
      <c r="C121" s="341" t="s">
        <v>797</v>
      </c>
      <c r="D121" s="284"/>
      <c r="E121" s="284"/>
      <c r="F121" s="284"/>
      <c r="G121" s="284"/>
      <c r="H121" s="284"/>
      <c r="I121" s="284"/>
      <c r="J121" s="366">
        <v>0.5</v>
      </c>
      <c r="K121" s="370">
        <f t="shared" si="17"/>
        <v>0.24822695035460998</v>
      </c>
      <c r="L121" s="371">
        <v>3.5</v>
      </c>
      <c r="M121" s="371">
        <v>0</v>
      </c>
      <c r="N121" s="366">
        <f t="shared" si="13"/>
        <v>0.5</v>
      </c>
      <c r="O121" s="370">
        <f t="shared" si="14"/>
        <v>0</v>
      </c>
      <c r="P121" s="370">
        <f t="shared" si="15"/>
        <v>0</v>
      </c>
      <c r="Q121" s="366">
        <f t="shared" si="18"/>
        <v>0.5</v>
      </c>
      <c r="R121" s="370">
        <f t="shared" si="12"/>
        <v>0</v>
      </c>
      <c r="S121" s="366">
        <f t="shared" si="19"/>
        <v>0</v>
      </c>
      <c r="T121" s="366">
        <v>0</v>
      </c>
      <c r="U121" s="370">
        <f t="shared" si="16"/>
        <v>0</v>
      </c>
      <c r="V121" s="370"/>
      <c r="W121" s="372"/>
      <c r="X121" s="370"/>
      <c r="Y121" s="370"/>
      <c r="Z121" s="370"/>
      <c r="AA121" s="370"/>
      <c r="AB121" s="370"/>
      <c r="AC121" s="370"/>
      <c r="AD121" s="370"/>
      <c r="AE121" s="370"/>
      <c r="AF121" s="370"/>
      <c r="AG121" s="370"/>
      <c r="AH121" s="370"/>
      <c r="AI121" s="370"/>
      <c r="AJ121" s="366"/>
      <c r="AK121" s="366"/>
      <c r="AL121" s="360"/>
      <c r="AM121" s="305" t="s">
        <v>823</v>
      </c>
      <c r="AN121" s="305"/>
      <c r="AO121" s="305"/>
      <c r="AP121" s="305"/>
      <c r="AQ121" s="305"/>
      <c r="AR121" s="305"/>
      <c r="AS121" s="305"/>
      <c r="AT121" s="305"/>
      <c r="AU121" s="305"/>
      <c r="AV121" s="305"/>
    </row>
    <row r="122" spans="1:48" s="306" customFormat="1" ht="39" hidden="1">
      <c r="A122" s="304" t="s">
        <v>377</v>
      </c>
      <c r="B122" s="304" t="s">
        <v>735</v>
      </c>
      <c r="C122" s="341" t="s">
        <v>797</v>
      </c>
      <c r="D122" s="284"/>
      <c r="E122" s="284"/>
      <c r="F122" s="284"/>
      <c r="G122" s="284"/>
      <c r="H122" s="284"/>
      <c r="I122" s="284"/>
      <c r="J122" s="366">
        <v>1</v>
      </c>
      <c r="K122" s="370">
        <f t="shared" si="17"/>
        <v>7.0921985815602856E-2</v>
      </c>
      <c r="L122" s="371">
        <v>1</v>
      </c>
      <c r="M122" s="371">
        <v>0</v>
      </c>
      <c r="N122" s="366">
        <f t="shared" si="13"/>
        <v>1</v>
      </c>
      <c r="O122" s="370">
        <f t="shared" si="14"/>
        <v>0</v>
      </c>
      <c r="P122" s="370">
        <f t="shared" si="15"/>
        <v>0</v>
      </c>
      <c r="Q122" s="366">
        <f t="shared" si="18"/>
        <v>1</v>
      </c>
      <c r="R122" s="370">
        <f t="shared" si="12"/>
        <v>0</v>
      </c>
      <c r="S122" s="366">
        <f t="shared" si="19"/>
        <v>0</v>
      </c>
      <c r="T122" s="366">
        <v>0</v>
      </c>
      <c r="U122" s="370">
        <f t="shared" si="16"/>
        <v>0</v>
      </c>
      <c r="V122" s="370"/>
      <c r="W122" s="372"/>
      <c r="X122" s="370"/>
      <c r="Y122" s="370"/>
      <c r="Z122" s="370"/>
      <c r="AA122" s="370"/>
      <c r="AB122" s="370"/>
      <c r="AC122" s="370"/>
      <c r="AD122" s="370"/>
      <c r="AE122" s="370"/>
      <c r="AF122" s="370"/>
      <c r="AG122" s="370"/>
      <c r="AH122" s="370"/>
      <c r="AI122" s="370"/>
      <c r="AJ122" s="366"/>
      <c r="AK122" s="366"/>
      <c r="AL122" s="360"/>
      <c r="AM122" s="305" t="s">
        <v>823</v>
      </c>
      <c r="AN122" s="305"/>
      <c r="AO122" s="305"/>
      <c r="AP122" s="305"/>
      <c r="AQ122" s="305"/>
      <c r="AR122" s="305"/>
      <c r="AS122" s="305"/>
      <c r="AT122" s="305"/>
      <c r="AU122" s="305"/>
      <c r="AV122" s="305"/>
    </row>
    <row r="123" spans="1:48" s="306" customFormat="1" ht="39" hidden="1">
      <c r="A123" s="304" t="s">
        <v>379</v>
      </c>
      <c r="B123" s="304" t="s">
        <v>736</v>
      </c>
      <c r="C123" s="341" t="s">
        <v>797</v>
      </c>
      <c r="D123" s="284"/>
      <c r="E123" s="284"/>
      <c r="F123" s="284"/>
      <c r="G123" s="284"/>
      <c r="H123" s="284"/>
      <c r="I123" s="284"/>
      <c r="J123" s="366">
        <v>1</v>
      </c>
      <c r="K123" s="370">
        <f t="shared" si="17"/>
        <v>7.0921985815602856E-2</v>
      </c>
      <c r="L123" s="371">
        <v>1</v>
      </c>
      <c r="M123" s="371">
        <v>0</v>
      </c>
      <c r="N123" s="366">
        <f t="shared" si="13"/>
        <v>1</v>
      </c>
      <c r="O123" s="370">
        <f t="shared" si="14"/>
        <v>0</v>
      </c>
      <c r="P123" s="370">
        <f t="shared" si="15"/>
        <v>0</v>
      </c>
      <c r="Q123" s="366">
        <f t="shared" si="18"/>
        <v>1</v>
      </c>
      <c r="R123" s="370">
        <f t="shared" si="12"/>
        <v>0</v>
      </c>
      <c r="S123" s="366">
        <f t="shared" si="19"/>
        <v>0</v>
      </c>
      <c r="T123" s="366">
        <v>0</v>
      </c>
      <c r="U123" s="370">
        <f t="shared" si="16"/>
        <v>0</v>
      </c>
      <c r="V123" s="370"/>
      <c r="W123" s="372"/>
      <c r="X123" s="370"/>
      <c r="Y123" s="370"/>
      <c r="Z123" s="370"/>
      <c r="AA123" s="370"/>
      <c r="AB123" s="370"/>
      <c r="AC123" s="370"/>
      <c r="AD123" s="370"/>
      <c r="AE123" s="370"/>
      <c r="AF123" s="370"/>
      <c r="AG123" s="370"/>
      <c r="AH123" s="370"/>
      <c r="AI123" s="370"/>
      <c r="AJ123" s="366"/>
      <c r="AK123" s="366"/>
      <c r="AL123" s="360"/>
      <c r="AM123" s="305" t="s">
        <v>823</v>
      </c>
      <c r="AN123" s="305"/>
      <c r="AO123" s="305"/>
      <c r="AP123" s="305"/>
      <c r="AQ123" s="305"/>
      <c r="AR123" s="305"/>
      <c r="AS123" s="305"/>
      <c r="AT123" s="305"/>
      <c r="AU123" s="305"/>
      <c r="AV123" s="305"/>
    </row>
    <row r="124" spans="1:48" s="306" customFormat="1" ht="39" hidden="1">
      <c r="A124" s="304" t="s">
        <v>381</v>
      </c>
      <c r="B124" s="304" t="s">
        <v>737</v>
      </c>
      <c r="C124" s="341" t="s">
        <v>797</v>
      </c>
      <c r="D124" s="284"/>
      <c r="E124" s="284"/>
      <c r="F124" s="284"/>
      <c r="G124" s="284"/>
      <c r="H124" s="284"/>
      <c r="I124" s="284"/>
      <c r="J124" s="366">
        <v>5</v>
      </c>
      <c r="K124" s="370">
        <f t="shared" si="17"/>
        <v>0.17730496453900713</v>
      </c>
      <c r="L124" s="371">
        <v>2.5</v>
      </c>
      <c r="M124" s="371">
        <v>0</v>
      </c>
      <c r="N124" s="366">
        <f t="shared" si="13"/>
        <v>5</v>
      </c>
      <c r="O124" s="370">
        <f t="shared" si="14"/>
        <v>0</v>
      </c>
      <c r="P124" s="370">
        <f t="shared" si="15"/>
        <v>0</v>
      </c>
      <c r="Q124" s="366">
        <f t="shared" si="18"/>
        <v>5</v>
      </c>
      <c r="R124" s="370">
        <f t="shared" si="12"/>
        <v>0</v>
      </c>
      <c r="S124" s="366">
        <f t="shared" si="19"/>
        <v>0</v>
      </c>
      <c r="T124" s="366">
        <v>0</v>
      </c>
      <c r="U124" s="370">
        <f t="shared" si="16"/>
        <v>0</v>
      </c>
      <c r="V124" s="370"/>
      <c r="W124" s="372"/>
      <c r="X124" s="370"/>
      <c r="Y124" s="370"/>
      <c r="Z124" s="370"/>
      <c r="AA124" s="370"/>
      <c r="AB124" s="370"/>
      <c r="AC124" s="370"/>
      <c r="AD124" s="370"/>
      <c r="AE124" s="370"/>
      <c r="AF124" s="370"/>
      <c r="AG124" s="370"/>
      <c r="AH124" s="370"/>
      <c r="AI124" s="370"/>
      <c r="AJ124" s="366"/>
      <c r="AK124" s="366"/>
      <c r="AL124" s="360"/>
      <c r="AM124" s="305" t="s">
        <v>823</v>
      </c>
      <c r="AN124" s="305"/>
      <c r="AO124" s="305"/>
      <c r="AP124" s="305"/>
      <c r="AQ124" s="305"/>
      <c r="AR124" s="305"/>
      <c r="AS124" s="305"/>
      <c r="AT124" s="305"/>
      <c r="AU124" s="305"/>
      <c r="AV124" s="305"/>
    </row>
    <row r="125" spans="1:48" s="306" customFormat="1" ht="39" hidden="1">
      <c r="A125" s="304" t="s">
        <v>383</v>
      </c>
      <c r="B125" s="304" t="s">
        <v>738</v>
      </c>
      <c r="C125" s="341" t="s">
        <v>797</v>
      </c>
      <c r="D125" s="284"/>
      <c r="E125" s="284"/>
      <c r="F125" s="284"/>
      <c r="G125" s="284"/>
      <c r="H125" s="284"/>
      <c r="I125" s="284"/>
      <c r="J125" s="366">
        <v>1</v>
      </c>
      <c r="K125" s="370">
        <f t="shared" si="17"/>
        <v>0</v>
      </c>
      <c r="L125" s="371">
        <v>0</v>
      </c>
      <c r="M125" s="371">
        <v>0</v>
      </c>
      <c r="N125" s="366">
        <f t="shared" si="13"/>
        <v>1</v>
      </c>
      <c r="O125" s="370">
        <f t="shared" si="14"/>
        <v>0</v>
      </c>
      <c r="P125" s="370">
        <f t="shared" si="15"/>
        <v>0</v>
      </c>
      <c r="Q125" s="366">
        <f t="shared" si="18"/>
        <v>1</v>
      </c>
      <c r="R125" s="370">
        <f t="shared" si="12"/>
        <v>0</v>
      </c>
      <c r="S125" s="366">
        <v>0</v>
      </c>
      <c r="T125" s="366">
        <v>0</v>
      </c>
      <c r="U125" s="370">
        <f t="shared" si="16"/>
        <v>0</v>
      </c>
      <c r="V125" s="370"/>
      <c r="W125" s="372"/>
      <c r="X125" s="370"/>
      <c r="Y125" s="370"/>
      <c r="Z125" s="370"/>
      <c r="AA125" s="370"/>
      <c r="AB125" s="370"/>
      <c r="AC125" s="370"/>
      <c r="AD125" s="370"/>
      <c r="AE125" s="370"/>
      <c r="AF125" s="370"/>
      <c r="AG125" s="370"/>
      <c r="AH125" s="370"/>
      <c r="AI125" s="370"/>
      <c r="AJ125" s="366"/>
      <c r="AK125" s="366"/>
      <c r="AL125" s="360"/>
      <c r="AM125" s="305" t="s">
        <v>823</v>
      </c>
      <c r="AN125" s="305"/>
      <c r="AO125" s="305"/>
      <c r="AP125" s="305"/>
      <c r="AQ125" s="305"/>
      <c r="AR125" s="305"/>
      <c r="AS125" s="305"/>
      <c r="AT125" s="305"/>
      <c r="AU125" s="305"/>
      <c r="AV125" s="305"/>
    </row>
    <row r="126" spans="1:48" s="306" customFormat="1" ht="58.5" hidden="1">
      <c r="A126" s="304" t="s">
        <v>385</v>
      </c>
      <c r="B126" s="304" t="s">
        <v>739</v>
      </c>
      <c r="C126" s="341" t="s">
        <v>797</v>
      </c>
      <c r="D126" s="284"/>
      <c r="E126" s="284"/>
      <c r="F126" s="284"/>
      <c r="G126" s="284"/>
      <c r="H126" s="284"/>
      <c r="I126" s="284"/>
      <c r="J126" s="366">
        <v>1</v>
      </c>
      <c r="K126" s="370">
        <f t="shared" si="17"/>
        <v>0</v>
      </c>
      <c r="L126" s="371">
        <v>0</v>
      </c>
      <c r="M126" s="371">
        <v>0</v>
      </c>
      <c r="N126" s="366">
        <f t="shared" si="13"/>
        <v>1</v>
      </c>
      <c r="O126" s="370">
        <f t="shared" si="14"/>
        <v>0</v>
      </c>
      <c r="P126" s="370">
        <f t="shared" si="15"/>
        <v>0</v>
      </c>
      <c r="Q126" s="366">
        <f t="shared" si="18"/>
        <v>1</v>
      </c>
      <c r="R126" s="370">
        <f t="shared" si="12"/>
        <v>0</v>
      </c>
      <c r="S126" s="366">
        <v>0</v>
      </c>
      <c r="T126" s="366">
        <v>0</v>
      </c>
      <c r="U126" s="370">
        <f t="shared" si="16"/>
        <v>0</v>
      </c>
      <c r="V126" s="370"/>
      <c r="W126" s="372"/>
      <c r="X126" s="370"/>
      <c r="Y126" s="370"/>
      <c r="Z126" s="370"/>
      <c r="AA126" s="370"/>
      <c r="AB126" s="370"/>
      <c r="AC126" s="370"/>
      <c r="AD126" s="370"/>
      <c r="AE126" s="370"/>
      <c r="AF126" s="370"/>
      <c r="AG126" s="370"/>
      <c r="AH126" s="370"/>
      <c r="AI126" s="370"/>
      <c r="AJ126" s="366"/>
      <c r="AK126" s="366"/>
      <c r="AL126" s="360"/>
      <c r="AM126" s="305" t="s">
        <v>823</v>
      </c>
      <c r="AN126" s="305"/>
      <c r="AO126" s="305"/>
      <c r="AP126" s="305"/>
      <c r="AQ126" s="305"/>
      <c r="AR126" s="305"/>
      <c r="AS126" s="305"/>
      <c r="AT126" s="305"/>
      <c r="AU126" s="305"/>
      <c r="AV126" s="305"/>
    </row>
    <row r="127" spans="1:48" s="306" customFormat="1" ht="58.5" hidden="1">
      <c r="A127" s="304" t="s">
        <v>387</v>
      </c>
      <c r="B127" s="304" t="s">
        <v>740</v>
      </c>
      <c r="C127" s="341" t="s">
        <v>797</v>
      </c>
      <c r="D127" s="284"/>
      <c r="E127" s="284"/>
      <c r="F127" s="284"/>
      <c r="G127" s="284"/>
      <c r="H127" s="284"/>
      <c r="I127" s="284"/>
      <c r="J127" s="366">
        <v>5</v>
      </c>
      <c r="K127" s="370">
        <f t="shared" si="17"/>
        <v>0.35460992907801425</v>
      </c>
      <c r="L127" s="371">
        <v>5</v>
      </c>
      <c r="M127" s="371">
        <v>5</v>
      </c>
      <c r="N127" s="366">
        <f t="shared" si="13"/>
        <v>5</v>
      </c>
      <c r="O127" s="370">
        <f t="shared" si="14"/>
        <v>0.7092198581560285</v>
      </c>
      <c r="P127" s="370">
        <f t="shared" si="15"/>
        <v>5</v>
      </c>
      <c r="Q127" s="366">
        <f t="shared" si="18"/>
        <v>5</v>
      </c>
      <c r="R127" s="370">
        <f t="shared" si="12"/>
        <v>0.7092198581560285</v>
      </c>
      <c r="S127" s="366">
        <f t="shared" ref="S127:S134" si="20">ROUND(IF(O127=0,R127/K127*100,R127/O127*100),2)</f>
        <v>100</v>
      </c>
      <c r="T127" s="366">
        <v>4.7699999999999996</v>
      </c>
      <c r="U127" s="370">
        <f t="shared" si="16"/>
        <v>95.399999999999991</v>
      </c>
      <c r="V127" s="370"/>
      <c r="W127" s="372"/>
      <c r="X127" s="370"/>
      <c r="Y127" s="370"/>
      <c r="Z127" s="370"/>
      <c r="AA127" s="370"/>
      <c r="AB127" s="370"/>
      <c r="AC127" s="370"/>
      <c r="AD127" s="370"/>
      <c r="AE127" s="370"/>
      <c r="AF127" s="370"/>
      <c r="AG127" s="370"/>
      <c r="AH127" s="370"/>
      <c r="AI127" s="370"/>
      <c r="AJ127" s="366"/>
      <c r="AK127" s="366"/>
      <c r="AL127" s="360"/>
      <c r="AM127" s="305" t="s">
        <v>823</v>
      </c>
      <c r="AN127" s="305"/>
      <c r="AO127" s="305"/>
      <c r="AP127" s="305"/>
      <c r="AQ127" s="305"/>
      <c r="AR127" s="305"/>
      <c r="AS127" s="305"/>
      <c r="AT127" s="305"/>
      <c r="AU127" s="305"/>
      <c r="AV127" s="305"/>
    </row>
    <row r="128" spans="1:48" s="306" customFormat="1" ht="39" hidden="1">
      <c r="A128" s="304" t="s">
        <v>537</v>
      </c>
      <c r="B128" s="304" t="s">
        <v>741</v>
      </c>
      <c r="C128" s="340" t="s">
        <v>794</v>
      </c>
      <c r="D128" s="284"/>
      <c r="E128" s="284"/>
      <c r="F128" s="284"/>
      <c r="G128" s="284"/>
      <c r="H128" s="284"/>
      <c r="I128" s="284"/>
      <c r="J128" s="366">
        <v>4</v>
      </c>
      <c r="K128" s="370">
        <f t="shared" si="17"/>
        <v>4.9645390070921991</v>
      </c>
      <c r="L128" s="371">
        <v>70</v>
      </c>
      <c r="M128" s="371">
        <v>0</v>
      </c>
      <c r="N128" s="366">
        <f t="shared" si="13"/>
        <v>4</v>
      </c>
      <c r="O128" s="370">
        <f t="shared" si="14"/>
        <v>0</v>
      </c>
      <c r="P128" s="370">
        <f t="shared" si="15"/>
        <v>0</v>
      </c>
      <c r="Q128" s="366">
        <f t="shared" si="18"/>
        <v>4</v>
      </c>
      <c r="R128" s="370">
        <f t="shared" si="12"/>
        <v>0</v>
      </c>
      <c r="S128" s="366">
        <f t="shared" si="20"/>
        <v>0</v>
      </c>
      <c r="T128" s="366">
        <v>0</v>
      </c>
      <c r="U128" s="370">
        <f t="shared" si="16"/>
        <v>0</v>
      </c>
      <c r="V128" s="370"/>
      <c r="W128" s="372"/>
      <c r="X128" s="370"/>
      <c r="Y128" s="370"/>
      <c r="Z128" s="370"/>
      <c r="AA128" s="370"/>
      <c r="AB128" s="370"/>
      <c r="AC128" s="370"/>
      <c r="AD128" s="370"/>
      <c r="AE128" s="370"/>
      <c r="AF128" s="370"/>
      <c r="AG128" s="370"/>
      <c r="AH128" s="370"/>
      <c r="AI128" s="370"/>
      <c r="AJ128" s="366"/>
      <c r="AK128" s="366"/>
      <c r="AL128" s="360"/>
      <c r="AM128" s="305" t="s">
        <v>823</v>
      </c>
      <c r="AN128" s="305"/>
      <c r="AO128" s="305"/>
      <c r="AP128" s="305"/>
      <c r="AQ128" s="305"/>
      <c r="AR128" s="305"/>
      <c r="AS128" s="305"/>
      <c r="AT128" s="305"/>
      <c r="AU128" s="305"/>
      <c r="AV128" s="305"/>
    </row>
    <row r="129" spans="1:48" s="306" customFormat="1" ht="58.5" hidden="1">
      <c r="A129" s="304" t="s">
        <v>389</v>
      </c>
      <c r="B129" s="304" t="s">
        <v>742</v>
      </c>
      <c r="C129" s="341" t="s">
        <v>797</v>
      </c>
      <c r="D129" s="284"/>
      <c r="E129" s="284"/>
      <c r="F129" s="284"/>
      <c r="G129" s="284"/>
      <c r="H129" s="284"/>
      <c r="I129" s="284"/>
      <c r="J129" s="366">
        <v>6</v>
      </c>
      <c r="K129" s="370">
        <f t="shared" si="17"/>
        <v>1.7021276595744685</v>
      </c>
      <c r="L129" s="371">
        <v>24</v>
      </c>
      <c r="M129" s="371">
        <v>20</v>
      </c>
      <c r="N129" s="366">
        <f t="shared" si="13"/>
        <v>6</v>
      </c>
      <c r="O129" s="370">
        <f t="shared" si="14"/>
        <v>2.836879432624114</v>
      </c>
      <c r="P129" s="370">
        <f t="shared" si="15"/>
        <v>20</v>
      </c>
      <c r="Q129" s="366">
        <f t="shared" si="18"/>
        <v>6</v>
      </c>
      <c r="R129" s="370">
        <f t="shared" si="12"/>
        <v>2.836879432624114</v>
      </c>
      <c r="S129" s="366">
        <f t="shared" si="20"/>
        <v>100</v>
      </c>
      <c r="T129" s="366">
        <v>19.98</v>
      </c>
      <c r="U129" s="370">
        <f t="shared" si="16"/>
        <v>99.9</v>
      </c>
      <c r="V129" s="370"/>
      <c r="W129" s="372"/>
      <c r="X129" s="370"/>
      <c r="Y129" s="370"/>
      <c r="Z129" s="370"/>
      <c r="AA129" s="370"/>
      <c r="AB129" s="370"/>
      <c r="AC129" s="370"/>
      <c r="AD129" s="370"/>
      <c r="AE129" s="370"/>
      <c r="AF129" s="370"/>
      <c r="AG129" s="370"/>
      <c r="AH129" s="370"/>
      <c r="AI129" s="370"/>
      <c r="AJ129" s="366"/>
      <c r="AK129" s="366"/>
      <c r="AL129" s="360"/>
      <c r="AM129" s="305" t="s">
        <v>823</v>
      </c>
      <c r="AN129" s="305"/>
      <c r="AO129" s="305"/>
      <c r="AP129" s="305"/>
      <c r="AQ129" s="305"/>
      <c r="AR129" s="305"/>
      <c r="AS129" s="305"/>
      <c r="AT129" s="305"/>
      <c r="AU129" s="305"/>
      <c r="AV129" s="305"/>
    </row>
    <row r="130" spans="1:48" s="306" customFormat="1" ht="58.5" hidden="1">
      <c r="A130" s="304" t="s">
        <v>391</v>
      </c>
      <c r="B130" s="304" t="s">
        <v>743</v>
      </c>
      <c r="C130" s="341" t="s">
        <v>797</v>
      </c>
      <c r="D130" s="284"/>
      <c r="E130" s="284"/>
      <c r="F130" s="284"/>
      <c r="G130" s="284"/>
      <c r="H130" s="284"/>
      <c r="I130" s="284"/>
      <c r="J130" s="366">
        <v>6</v>
      </c>
      <c r="K130" s="370">
        <f t="shared" si="17"/>
        <v>0.42553191489361714</v>
      </c>
      <c r="L130" s="371">
        <v>6</v>
      </c>
      <c r="M130" s="371">
        <v>5</v>
      </c>
      <c r="N130" s="366">
        <f t="shared" si="13"/>
        <v>6</v>
      </c>
      <c r="O130" s="370">
        <f t="shared" si="14"/>
        <v>0.7092198581560285</v>
      </c>
      <c r="P130" s="370">
        <f t="shared" si="15"/>
        <v>5</v>
      </c>
      <c r="Q130" s="366">
        <f t="shared" si="18"/>
        <v>6</v>
      </c>
      <c r="R130" s="370">
        <f t="shared" si="12"/>
        <v>0.7092198581560285</v>
      </c>
      <c r="S130" s="366">
        <f t="shared" si="20"/>
        <v>100</v>
      </c>
      <c r="T130" s="366">
        <v>4.8</v>
      </c>
      <c r="U130" s="370">
        <f t="shared" si="16"/>
        <v>96</v>
      </c>
      <c r="V130" s="370"/>
      <c r="W130" s="372"/>
      <c r="X130" s="370"/>
      <c r="Y130" s="370"/>
      <c r="Z130" s="370"/>
      <c r="AA130" s="370"/>
      <c r="AB130" s="370"/>
      <c r="AC130" s="370"/>
      <c r="AD130" s="370"/>
      <c r="AE130" s="370"/>
      <c r="AF130" s="370"/>
      <c r="AG130" s="370"/>
      <c r="AH130" s="370"/>
      <c r="AI130" s="370"/>
      <c r="AJ130" s="366"/>
      <c r="AK130" s="366"/>
      <c r="AL130" s="360"/>
      <c r="AM130" s="305" t="s">
        <v>823</v>
      </c>
      <c r="AN130" s="305"/>
      <c r="AO130" s="305"/>
      <c r="AP130" s="305"/>
      <c r="AQ130" s="305"/>
      <c r="AR130" s="305"/>
      <c r="AS130" s="305"/>
      <c r="AT130" s="305"/>
      <c r="AU130" s="305"/>
      <c r="AV130" s="305"/>
    </row>
    <row r="131" spans="1:48" s="306" customFormat="1" ht="39" hidden="1">
      <c r="A131" s="304" t="s">
        <v>393</v>
      </c>
      <c r="B131" s="304" t="s">
        <v>744</v>
      </c>
      <c r="C131" s="341" t="s">
        <v>797</v>
      </c>
      <c r="D131" s="284"/>
      <c r="E131" s="284"/>
      <c r="F131" s="284"/>
      <c r="G131" s="284"/>
      <c r="H131" s="284"/>
      <c r="I131" s="284"/>
      <c r="J131" s="366">
        <v>0.5</v>
      </c>
      <c r="K131" s="370">
        <f t="shared" si="17"/>
        <v>3.5460992907801428E-2</v>
      </c>
      <c r="L131" s="371">
        <v>0.5</v>
      </c>
      <c r="M131" s="371">
        <v>0</v>
      </c>
      <c r="N131" s="366">
        <f t="shared" si="13"/>
        <v>0.5</v>
      </c>
      <c r="O131" s="370">
        <f t="shared" si="14"/>
        <v>0</v>
      </c>
      <c r="P131" s="370">
        <f t="shared" si="15"/>
        <v>0</v>
      </c>
      <c r="Q131" s="366">
        <f t="shared" si="18"/>
        <v>0.5</v>
      </c>
      <c r="R131" s="370">
        <f t="shared" si="12"/>
        <v>0</v>
      </c>
      <c r="S131" s="366">
        <f t="shared" si="20"/>
        <v>0</v>
      </c>
      <c r="T131" s="366">
        <v>0</v>
      </c>
      <c r="U131" s="370">
        <f t="shared" si="16"/>
        <v>0</v>
      </c>
      <c r="V131" s="370"/>
      <c r="W131" s="372"/>
      <c r="X131" s="370"/>
      <c r="Y131" s="370"/>
      <c r="Z131" s="370"/>
      <c r="AA131" s="370"/>
      <c r="AB131" s="370"/>
      <c r="AC131" s="370"/>
      <c r="AD131" s="370"/>
      <c r="AE131" s="370"/>
      <c r="AF131" s="370"/>
      <c r="AG131" s="370"/>
      <c r="AH131" s="370"/>
      <c r="AI131" s="370"/>
      <c r="AJ131" s="366"/>
      <c r="AK131" s="366"/>
      <c r="AL131" s="360"/>
      <c r="AM131" s="305" t="s">
        <v>823</v>
      </c>
      <c r="AN131" s="305"/>
      <c r="AO131" s="305"/>
      <c r="AP131" s="305"/>
      <c r="AQ131" s="305"/>
      <c r="AR131" s="305"/>
      <c r="AS131" s="305"/>
      <c r="AT131" s="305"/>
      <c r="AU131" s="305"/>
      <c r="AV131" s="305"/>
    </row>
    <row r="132" spans="1:48" s="306" customFormat="1" ht="39" hidden="1">
      <c r="A132" s="304" t="s">
        <v>450</v>
      </c>
      <c r="B132" s="304" t="s">
        <v>745</v>
      </c>
      <c r="C132" s="341" t="s">
        <v>797</v>
      </c>
      <c r="D132" s="284"/>
      <c r="E132" s="284"/>
      <c r="F132" s="284"/>
      <c r="G132" s="284"/>
      <c r="H132" s="284"/>
      <c r="I132" s="284"/>
      <c r="J132" s="366">
        <v>1</v>
      </c>
      <c r="K132" s="370">
        <f t="shared" si="17"/>
        <v>0.28368794326241142</v>
      </c>
      <c r="L132" s="371">
        <v>4</v>
      </c>
      <c r="M132" s="371"/>
      <c r="N132" s="366">
        <f t="shared" si="13"/>
        <v>1</v>
      </c>
      <c r="O132" s="370">
        <f t="shared" si="14"/>
        <v>0</v>
      </c>
      <c r="P132" s="370">
        <f t="shared" si="15"/>
        <v>0</v>
      </c>
      <c r="Q132" s="366">
        <f t="shared" si="18"/>
        <v>1</v>
      </c>
      <c r="R132" s="370">
        <f t="shared" si="12"/>
        <v>0</v>
      </c>
      <c r="S132" s="366">
        <f t="shared" si="20"/>
        <v>0</v>
      </c>
      <c r="T132" s="366">
        <v>0</v>
      </c>
      <c r="U132" s="370">
        <f t="shared" si="16"/>
        <v>0</v>
      </c>
      <c r="V132" s="370"/>
      <c r="W132" s="372"/>
      <c r="X132" s="370"/>
      <c r="Y132" s="370"/>
      <c r="Z132" s="370"/>
      <c r="AA132" s="370"/>
      <c r="AB132" s="370"/>
      <c r="AC132" s="370"/>
      <c r="AD132" s="370"/>
      <c r="AE132" s="370"/>
      <c r="AF132" s="370"/>
      <c r="AG132" s="370"/>
      <c r="AH132" s="370"/>
      <c r="AI132" s="370"/>
      <c r="AJ132" s="366"/>
      <c r="AK132" s="366"/>
      <c r="AL132" s="360"/>
      <c r="AM132" s="305" t="s">
        <v>820</v>
      </c>
      <c r="AN132" s="305"/>
      <c r="AO132" s="305"/>
      <c r="AP132" s="305"/>
      <c r="AQ132" s="305"/>
      <c r="AR132" s="305"/>
      <c r="AS132" s="305"/>
      <c r="AT132" s="305"/>
      <c r="AU132" s="305"/>
      <c r="AV132" s="305"/>
    </row>
    <row r="133" spans="1:48" s="306" customFormat="1" ht="58.5" hidden="1">
      <c r="A133" s="304" t="s">
        <v>395</v>
      </c>
      <c r="B133" s="304" t="s">
        <v>746</v>
      </c>
      <c r="C133" s="340" t="s">
        <v>794</v>
      </c>
      <c r="D133" s="284"/>
      <c r="E133" s="284"/>
      <c r="F133" s="284"/>
      <c r="G133" s="284"/>
      <c r="H133" s="284"/>
      <c r="I133" s="284"/>
      <c r="J133" s="366">
        <v>5</v>
      </c>
      <c r="K133" s="370">
        <f t="shared" si="17"/>
        <v>0.35460992907801425</v>
      </c>
      <c r="L133" s="371">
        <v>5</v>
      </c>
      <c r="M133" s="371">
        <v>5</v>
      </c>
      <c r="N133" s="366">
        <f t="shared" si="13"/>
        <v>5</v>
      </c>
      <c r="O133" s="370">
        <f t="shared" si="14"/>
        <v>0.7092198581560285</v>
      </c>
      <c r="P133" s="370">
        <f t="shared" si="15"/>
        <v>5</v>
      </c>
      <c r="Q133" s="366">
        <f t="shared" si="18"/>
        <v>5</v>
      </c>
      <c r="R133" s="370">
        <f t="shared" si="12"/>
        <v>0.7092198581560285</v>
      </c>
      <c r="S133" s="366">
        <f t="shared" si="20"/>
        <v>100</v>
      </c>
      <c r="T133" s="366">
        <v>4.8</v>
      </c>
      <c r="U133" s="370">
        <f t="shared" si="16"/>
        <v>96</v>
      </c>
      <c r="V133" s="370"/>
      <c r="W133" s="372"/>
      <c r="X133" s="370"/>
      <c r="Y133" s="370"/>
      <c r="Z133" s="370"/>
      <c r="AA133" s="370"/>
      <c r="AB133" s="370"/>
      <c r="AC133" s="370"/>
      <c r="AD133" s="370"/>
      <c r="AE133" s="370"/>
      <c r="AF133" s="370"/>
      <c r="AG133" s="370"/>
      <c r="AH133" s="370"/>
      <c r="AI133" s="370"/>
      <c r="AJ133" s="366"/>
      <c r="AK133" s="366"/>
      <c r="AL133" s="360"/>
      <c r="AM133" s="305" t="s">
        <v>823</v>
      </c>
      <c r="AN133" s="305"/>
      <c r="AO133" s="305"/>
      <c r="AP133" s="305"/>
      <c r="AQ133" s="305"/>
      <c r="AR133" s="305"/>
      <c r="AS133" s="305"/>
      <c r="AT133" s="305"/>
      <c r="AU133" s="305"/>
      <c r="AV133" s="305"/>
    </row>
    <row r="134" spans="1:48" s="306" customFormat="1" ht="58.5" hidden="1">
      <c r="A134" s="334" t="s">
        <v>600</v>
      </c>
      <c r="B134" s="334" t="s">
        <v>747</v>
      </c>
      <c r="C134" s="342" t="s">
        <v>794</v>
      </c>
      <c r="D134" s="281"/>
      <c r="E134" s="281"/>
      <c r="F134" s="281"/>
      <c r="G134" s="281"/>
      <c r="H134" s="281"/>
      <c r="I134" s="281"/>
      <c r="J134" s="374">
        <v>2</v>
      </c>
      <c r="K134" s="375">
        <f t="shared" si="17"/>
        <v>0.7092198581560285</v>
      </c>
      <c r="L134" s="376">
        <v>10</v>
      </c>
      <c r="M134" s="376">
        <v>10</v>
      </c>
      <c r="N134" s="374">
        <f t="shared" si="13"/>
        <v>2</v>
      </c>
      <c r="O134" s="375">
        <f t="shared" si="14"/>
        <v>1.418439716312057</v>
      </c>
      <c r="P134" s="375">
        <f t="shared" si="15"/>
        <v>10</v>
      </c>
      <c r="Q134" s="374">
        <v>1</v>
      </c>
      <c r="R134" s="375">
        <f t="shared" si="12"/>
        <v>0.7092198581560285</v>
      </c>
      <c r="S134" s="374">
        <f t="shared" si="20"/>
        <v>50</v>
      </c>
      <c r="T134" s="374">
        <v>4.99</v>
      </c>
      <c r="U134" s="375">
        <f t="shared" si="16"/>
        <v>49.9</v>
      </c>
      <c r="V134" s="375"/>
      <c r="W134" s="378"/>
      <c r="X134" s="375"/>
      <c r="Y134" s="375"/>
      <c r="Z134" s="375"/>
      <c r="AA134" s="375"/>
      <c r="AB134" s="375"/>
      <c r="AC134" s="375"/>
      <c r="AD134" s="375"/>
      <c r="AE134" s="375"/>
      <c r="AF134" s="375"/>
      <c r="AG134" s="375"/>
      <c r="AH134" s="375"/>
      <c r="AI134" s="375"/>
      <c r="AJ134" s="374"/>
      <c r="AK134" s="374"/>
      <c r="AL134" s="361"/>
      <c r="AM134" s="305" t="s">
        <v>823</v>
      </c>
      <c r="AN134" s="305"/>
      <c r="AO134" s="305"/>
      <c r="AP134" s="305"/>
      <c r="AQ134" s="305"/>
      <c r="AR134" s="305"/>
      <c r="AS134" s="305"/>
      <c r="AT134" s="305"/>
      <c r="AU134" s="305"/>
      <c r="AV134" s="305"/>
    </row>
    <row r="135" spans="1:48" s="177" customFormat="1" ht="19.5" hidden="1">
      <c r="A135" s="406" t="s">
        <v>748</v>
      </c>
      <c r="B135" s="407" t="s">
        <v>749</v>
      </c>
      <c r="C135" s="406"/>
      <c r="D135" s="406"/>
      <c r="E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406">
        <f>SUM(G32:G32)</f>
        <v>0</v>
      </c>
      <c r="H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409"/>
      <c r="K135" s="410">
        <f>SUM(K22:K30,K32:K33,K35,K37,K39,K41,K43,K45,K47,K49,K51,K53,K55,K57,K59,K61,K63,K65,K67:K134)</f>
        <v>99.999999999999943</v>
      </c>
      <c r="L135" s="410">
        <f>SUM(L22:L30,L32:L33,L35,L37,L39,L41,L43,L45,L47,L49,L51,L53,L55,L57,L59,L61,L63,L65,L67:L134)</f>
        <v>1409.9999999999998</v>
      </c>
      <c r="M135" s="410">
        <f>SUM(M22:M134)</f>
        <v>704.99999999999989</v>
      </c>
      <c r="N135" s="409"/>
      <c r="O135" s="410">
        <f>SUM(O22:O30,O32:O33,O35,O37,O39,O41,O43,O45,O47,O49,O51,O53,O55,O57,O59,O61,O63,O65,O67:O134)</f>
        <v>77.920567375886563</v>
      </c>
      <c r="P135" s="410">
        <f>SUM(P22:P134)</f>
        <v>704.99999999999989</v>
      </c>
      <c r="Q135" s="410"/>
      <c r="R135" s="410">
        <f>SUM(R22:R30,R32:R33,R35,R37,R39,R41,R43,R45,R47,R49,R51,R53,R55,R57,R59,R61,R63,R65,R67:R134)</f>
        <v>77.211347517730545</v>
      </c>
      <c r="S135" s="410">
        <f>R135/O135*100</f>
        <v>99.089816871154497</v>
      </c>
      <c r="T135" s="410">
        <f>SUM(T22:T134)</f>
        <v>683.29</v>
      </c>
      <c r="U135" s="410">
        <f>T135*100/P135</f>
        <v>96.920567375886534</v>
      </c>
      <c r="V135" s="369"/>
      <c r="W135" s="369">
        <f>SUM(W31:W134)</f>
        <v>11.120000000000001</v>
      </c>
      <c r="X135" s="369" t="e">
        <f>#REF!+#REF!+#REF!+#REF!</f>
        <v>#REF!</v>
      </c>
      <c r="Y135" s="369"/>
      <c r="Z135" s="369"/>
      <c r="AA135" s="369">
        <f>SUM(AA31:AA134)</f>
        <v>2.8155319148936169</v>
      </c>
      <c r="AB135" s="369"/>
      <c r="AC135" s="369"/>
      <c r="AD135" s="369"/>
      <c r="AE135" s="369"/>
      <c r="AF135" s="369"/>
      <c r="AG135" s="369"/>
      <c r="AH135" s="369"/>
      <c r="AI135" s="369">
        <f>SUM(AI31:AI134)</f>
        <v>3.410283687943263</v>
      </c>
      <c r="AJ135" s="373"/>
      <c r="AK135" s="373"/>
      <c r="AL135" s="331"/>
      <c r="AM135" s="220"/>
      <c r="AN135" s="220"/>
      <c r="AO135" s="220"/>
      <c r="AP135" s="220"/>
      <c r="AQ135" s="220"/>
      <c r="AR135" s="220"/>
      <c r="AS135" s="220"/>
      <c r="AT135" s="220"/>
      <c r="AU135" s="220"/>
      <c r="AV135" s="220"/>
    </row>
    <row r="136" spans="1:48" ht="19.5" hidden="1">
      <c r="A136" s="296"/>
      <c r="B136" s="381" t="s">
        <v>756</v>
      </c>
      <c r="C136" s="296"/>
      <c r="D136" s="296"/>
      <c r="E136" s="296">
        <v>100</v>
      </c>
      <c r="F136" s="296" t="e">
        <f t="shared" ref="F136:AI136" si="21">F135</f>
        <v>#REF!</v>
      </c>
      <c r="G136" s="296">
        <f t="shared" si="21"/>
        <v>0</v>
      </c>
      <c r="H136" s="296" t="e">
        <f t="shared" si="21"/>
        <v>#REF!</v>
      </c>
      <c r="I136" s="296" t="e">
        <f t="shared" si="21"/>
        <v>#REF!</v>
      </c>
      <c r="J136" s="382"/>
      <c r="K136" s="383">
        <f t="shared" si="21"/>
        <v>99.999999999999943</v>
      </c>
      <c r="L136" s="383">
        <f>L135</f>
        <v>1409.9999999999998</v>
      </c>
      <c r="M136" s="383"/>
      <c r="N136" s="384"/>
      <c r="O136" s="383">
        <f>O135</f>
        <v>77.920567375886563</v>
      </c>
      <c r="P136" s="383">
        <f>P135</f>
        <v>704.99999999999989</v>
      </c>
      <c r="Q136" s="384"/>
      <c r="R136" s="383">
        <f t="shared" ref="R136:T136" si="22">R135</f>
        <v>77.211347517730545</v>
      </c>
      <c r="S136" s="383">
        <f t="shared" si="22"/>
        <v>99.089816871154497</v>
      </c>
      <c r="T136" s="383">
        <f t="shared" si="22"/>
        <v>683.29</v>
      </c>
      <c r="U136" s="385">
        <f>T136*100/P136</f>
        <v>96.920567375886534</v>
      </c>
      <c r="V136" s="382"/>
      <c r="W136" s="382">
        <f t="shared" si="21"/>
        <v>11.120000000000001</v>
      </c>
      <c r="X136" s="382" t="e">
        <f t="shared" si="21"/>
        <v>#REF!</v>
      </c>
      <c r="Y136" s="382"/>
      <c r="Z136" s="382"/>
      <c r="AA136" s="377">
        <f t="shared" si="21"/>
        <v>2.8155319148936169</v>
      </c>
      <c r="AB136" s="377"/>
      <c r="AC136" s="377"/>
      <c r="AD136" s="377"/>
      <c r="AE136" s="377"/>
      <c r="AF136" s="377"/>
      <c r="AG136" s="377"/>
      <c r="AH136" s="382"/>
      <c r="AI136" s="377">
        <f t="shared" si="21"/>
        <v>3.410283687943263</v>
      </c>
      <c r="AJ136" s="382"/>
      <c r="AK136" s="382"/>
      <c r="AL136" s="296"/>
      <c r="AM136" s="220"/>
      <c r="AN136" s="220"/>
      <c r="AO136" s="220"/>
      <c r="AP136" s="220"/>
      <c r="AQ136" s="220"/>
      <c r="AR136" s="220"/>
      <c r="AS136" s="220"/>
      <c r="AT136" s="220"/>
      <c r="AU136" s="220"/>
      <c r="AV136" s="220"/>
    </row>
    <row r="137" spans="1:48" s="220" customFormat="1" ht="19.5" hidden="1">
      <c r="A137" s="386"/>
      <c r="B137" s="387"/>
      <c r="C137" s="388"/>
      <c r="D137" s="389"/>
      <c r="E137" s="389"/>
      <c r="F137" s="389"/>
      <c r="G137" s="389"/>
      <c r="H137" s="389"/>
      <c r="I137" s="389"/>
      <c r="J137" s="390"/>
      <c r="K137" s="617"/>
      <c r="L137" s="617"/>
      <c r="M137" s="391"/>
      <c r="N137" s="390"/>
      <c r="O137" s="390"/>
      <c r="P137" s="390"/>
      <c r="Q137" s="390"/>
      <c r="R137" s="390"/>
      <c r="S137" s="390"/>
      <c r="T137" s="390"/>
      <c r="U137" s="390"/>
      <c r="V137" s="390"/>
      <c r="W137" s="390"/>
      <c r="X137" s="390"/>
      <c r="Y137" s="390"/>
      <c r="Z137" s="390"/>
      <c r="AA137" s="389"/>
      <c r="AB137" s="389"/>
      <c r="AC137" s="389"/>
      <c r="AD137" s="389"/>
      <c r="AE137" s="389"/>
      <c r="AF137" s="389"/>
      <c r="AG137" s="389"/>
      <c r="AH137" s="389"/>
      <c r="AI137" s="392"/>
      <c r="AJ137" s="392"/>
      <c r="AK137" s="392"/>
      <c r="AL137" s="393"/>
    </row>
    <row r="138" spans="1:48" s="220" customFormat="1" ht="19.5" hidden="1">
      <c r="A138" s="394"/>
      <c r="C138" s="311"/>
      <c r="D138" s="256"/>
      <c r="E138" s="256"/>
      <c r="F138" s="256"/>
      <c r="G138" s="256"/>
      <c r="H138" s="256"/>
      <c r="I138" s="256"/>
      <c r="J138" s="257"/>
      <c r="K138" s="257"/>
      <c r="L138" s="321"/>
      <c r="M138" s="321"/>
      <c r="N138" s="257"/>
      <c r="O138" s="257"/>
      <c r="P138" s="257"/>
      <c r="Q138" s="257"/>
      <c r="R138" s="257"/>
      <c r="S138" s="257"/>
      <c r="T138" s="257"/>
      <c r="U138" s="257"/>
      <c r="V138" s="257"/>
      <c r="W138" s="257"/>
      <c r="X138" s="257"/>
      <c r="Y138" s="257"/>
      <c r="Z138" s="257"/>
      <c r="AA138" s="256"/>
      <c r="AB138" s="256"/>
      <c r="AC138" s="256"/>
      <c r="AD138" s="256"/>
      <c r="AE138" s="256"/>
      <c r="AF138" s="256"/>
      <c r="AG138" s="256"/>
      <c r="AH138" s="256"/>
      <c r="AI138" s="256"/>
      <c r="AJ138" s="256"/>
      <c r="AK138" s="256"/>
      <c r="AL138" s="395"/>
    </row>
    <row r="139" spans="1:48" s="220" customFormat="1" ht="19.5" hidden="1">
      <c r="A139" s="394"/>
      <c r="C139" s="311"/>
      <c r="D139" s="256"/>
      <c r="E139" s="256"/>
      <c r="F139" s="256"/>
      <c r="G139" s="256"/>
      <c r="H139" s="256"/>
      <c r="I139" s="256"/>
      <c r="J139" s="257"/>
      <c r="K139" s="257"/>
      <c r="L139" s="321"/>
      <c r="M139" s="321"/>
      <c r="N139" s="257"/>
      <c r="O139" s="257"/>
      <c r="P139" s="257"/>
      <c r="Q139" s="257"/>
      <c r="R139" s="257"/>
      <c r="S139" s="257"/>
      <c r="T139" s="257"/>
      <c r="U139" s="257"/>
      <c r="V139" s="257"/>
      <c r="W139" s="257"/>
      <c r="X139" s="257"/>
      <c r="Y139" s="257"/>
      <c r="Z139" s="257"/>
      <c r="AA139" s="256"/>
      <c r="AB139" s="256"/>
      <c r="AC139" s="256"/>
      <c r="AD139" s="256"/>
      <c r="AE139" s="256"/>
      <c r="AF139" s="256"/>
      <c r="AG139" s="256"/>
      <c r="AH139" s="256"/>
      <c r="AI139" s="256"/>
      <c r="AJ139" s="256"/>
      <c r="AK139" s="256"/>
      <c r="AL139" s="395"/>
    </row>
    <row r="140" spans="1:48" s="220" customFormat="1" ht="19.5" hidden="1">
      <c r="A140" s="394"/>
      <c r="B140" s="258" t="s">
        <v>750</v>
      </c>
      <c r="C140" s="312"/>
      <c r="D140" s="259"/>
      <c r="E140" s="259"/>
      <c r="F140" s="259"/>
      <c r="G140" s="259"/>
      <c r="H140" s="259"/>
      <c r="I140" s="259"/>
      <c r="J140" s="260"/>
      <c r="K140" s="261"/>
      <c r="L140" s="322"/>
      <c r="M140" s="322"/>
      <c r="N140" s="261"/>
      <c r="O140" s="261"/>
      <c r="P140" s="261"/>
      <c r="Q140" s="258" t="s">
        <v>770</v>
      </c>
      <c r="R140" s="261"/>
      <c r="S140" s="261"/>
      <c r="T140" s="261"/>
      <c r="U140" s="261"/>
      <c r="V140" s="261"/>
      <c r="W140" s="261"/>
      <c r="X140" s="261"/>
      <c r="Y140" s="261"/>
      <c r="Z140" s="261"/>
      <c r="AA140" s="259"/>
      <c r="AB140" s="259"/>
      <c r="AC140" s="259"/>
      <c r="AD140" s="259"/>
      <c r="AE140" s="259"/>
      <c r="AF140" s="259"/>
      <c r="AG140" s="259"/>
      <c r="AH140" s="259"/>
      <c r="AI140" s="259"/>
      <c r="AL140" s="396"/>
    </row>
    <row r="141" spans="1:48" s="220" customFormat="1" ht="19.5" hidden="1">
      <c r="A141" s="397"/>
      <c r="B141" s="398" t="s">
        <v>751</v>
      </c>
      <c r="C141" s="399"/>
      <c r="D141" s="400"/>
      <c r="E141" s="400"/>
      <c r="F141" s="400"/>
      <c r="G141" s="400"/>
      <c r="H141" s="400"/>
      <c r="I141" s="400"/>
      <c r="J141" s="401"/>
      <c r="K141" s="401"/>
      <c r="L141" s="402"/>
      <c r="M141" s="402"/>
      <c r="N141" s="401"/>
      <c r="O141" s="401"/>
      <c r="P141" s="401"/>
      <c r="Q141" s="398" t="s">
        <v>751</v>
      </c>
      <c r="R141" s="403"/>
      <c r="S141" s="401"/>
      <c r="T141" s="401"/>
      <c r="U141" s="401"/>
      <c r="V141" s="401"/>
      <c r="W141" s="401"/>
      <c r="X141" s="401"/>
      <c r="Y141" s="401"/>
      <c r="Z141" s="401"/>
      <c r="AA141" s="400"/>
      <c r="AB141" s="400"/>
      <c r="AC141" s="400"/>
      <c r="AD141" s="400"/>
      <c r="AE141" s="400"/>
      <c r="AF141" s="400"/>
      <c r="AG141" s="400"/>
      <c r="AH141" s="400"/>
      <c r="AI141" s="400"/>
      <c r="AJ141" s="400"/>
      <c r="AK141" s="400"/>
      <c r="AL141" s="404"/>
    </row>
    <row r="142" spans="1:48" s="220" customFormat="1" ht="19.5" hidden="1">
      <c r="C142" s="313"/>
      <c r="L142" s="323"/>
      <c r="M142" s="323"/>
      <c r="V142" s="220" t="s">
        <v>457</v>
      </c>
      <c r="X142" s="263"/>
    </row>
    <row r="143" spans="1:48" s="220" customFormat="1" ht="19.5" hidden="1">
      <c r="C143" s="313"/>
      <c r="L143" s="323"/>
      <c r="M143" s="323"/>
      <c r="X143" s="263"/>
    </row>
    <row r="144" spans="1:48" s="220" customFormat="1" ht="19.5" hidden="1">
      <c r="C144" s="313"/>
      <c r="L144" s="323"/>
      <c r="M144" s="323"/>
      <c r="X144" s="263"/>
    </row>
    <row r="145" spans="3:48" s="220" customFormat="1" ht="19.5" hidden="1">
      <c r="C145" s="313"/>
      <c r="L145" s="323"/>
      <c r="M145" s="323"/>
      <c r="X145" s="263"/>
    </row>
    <row r="146" spans="3:48" ht="19.5" hidden="1">
      <c r="C146" s="313"/>
      <c r="D146" s="220"/>
      <c r="E146" s="220"/>
      <c r="F146" s="220"/>
      <c r="G146" s="220"/>
      <c r="H146" s="220"/>
      <c r="I146" s="220"/>
      <c r="J146" s="220"/>
      <c r="K146" s="220"/>
      <c r="L146" s="323"/>
      <c r="M146" s="323"/>
      <c r="N146" s="220"/>
      <c r="O146" s="220"/>
      <c r="P146" s="220"/>
      <c r="Q146" s="220"/>
      <c r="R146" s="220"/>
      <c r="S146" s="220"/>
      <c r="T146" s="220"/>
      <c r="U146" s="220"/>
      <c r="V146" s="220"/>
      <c r="W146" s="220"/>
      <c r="X146" s="263"/>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row>
    <row r="147" spans="3:48" ht="19.5" hidden="1">
      <c r="C147" s="313"/>
      <c r="D147" s="220"/>
      <c r="E147" s="220"/>
      <c r="F147" s="220"/>
      <c r="G147" s="220"/>
      <c r="H147" s="220"/>
      <c r="I147" s="220"/>
      <c r="J147" s="220"/>
      <c r="K147" s="220"/>
      <c r="L147" s="323"/>
      <c r="M147" s="323"/>
      <c r="N147" s="220"/>
      <c r="O147" s="220"/>
      <c r="P147" s="220"/>
      <c r="Q147" s="220"/>
      <c r="R147" s="220"/>
      <c r="S147" s="220"/>
      <c r="T147" s="220"/>
      <c r="U147" s="220"/>
      <c r="V147" s="220"/>
      <c r="W147" s="220"/>
      <c r="X147" s="263"/>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row>
    <row r="148" spans="3:48" ht="19.5" hidden="1">
      <c r="C148" s="313"/>
      <c r="D148" s="220"/>
      <c r="E148" s="220"/>
      <c r="F148" s="220"/>
      <c r="G148" s="220"/>
      <c r="H148" s="220"/>
      <c r="I148" s="220"/>
      <c r="J148" s="220"/>
      <c r="K148" s="220"/>
      <c r="L148" s="323"/>
      <c r="M148" s="323"/>
      <c r="N148" s="220"/>
      <c r="O148" s="220"/>
      <c r="P148" s="220"/>
      <c r="Q148" s="220"/>
      <c r="R148" s="220"/>
      <c r="S148" s="220"/>
      <c r="T148" s="220"/>
      <c r="U148" s="220"/>
      <c r="V148" s="220"/>
      <c r="W148" s="220"/>
      <c r="X148" s="263"/>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row>
    <row r="149" spans="3:48" ht="19.5" hidden="1">
      <c r="C149" s="313"/>
      <c r="D149" s="220"/>
      <c r="E149" s="220"/>
      <c r="F149" s="220"/>
      <c r="G149" s="220"/>
      <c r="H149" s="220"/>
      <c r="I149" s="220"/>
      <c r="J149" s="220"/>
      <c r="K149" s="220"/>
      <c r="L149" s="323"/>
      <c r="M149" s="323"/>
      <c r="N149" s="220"/>
      <c r="O149" s="220"/>
      <c r="P149" s="220"/>
      <c r="Q149" s="220"/>
      <c r="R149" s="220"/>
      <c r="S149" s="220"/>
      <c r="T149" s="220"/>
      <c r="U149" s="220"/>
      <c r="V149" s="220"/>
      <c r="W149" s="220"/>
      <c r="X149" s="263"/>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row>
    <row r="150" spans="3:48" ht="19.5" hidden="1">
      <c r="C150" s="313"/>
      <c r="D150" s="220"/>
      <c r="E150" s="220"/>
      <c r="F150" s="220"/>
      <c r="G150" s="220"/>
      <c r="H150" s="220"/>
      <c r="I150" s="220"/>
      <c r="J150" s="220"/>
      <c r="K150" s="220"/>
      <c r="L150" s="323"/>
      <c r="M150" s="323"/>
      <c r="N150" s="220"/>
      <c r="O150" s="220"/>
      <c r="P150" s="220"/>
      <c r="Q150" s="220"/>
      <c r="R150" s="220"/>
      <c r="S150" s="220"/>
      <c r="T150" s="220"/>
      <c r="U150" s="220"/>
      <c r="V150" s="220"/>
      <c r="W150" s="220"/>
      <c r="X150" s="263"/>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row>
    <row r="151" spans="3:48" ht="19.5" hidden="1">
      <c r="C151" s="313"/>
      <c r="D151" s="220"/>
      <c r="E151" s="220"/>
      <c r="F151" s="220"/>
      <c r="G151" s="220"/>
      <c r="H151" s="220"/>
      <c r="I151" s="220"/>
      <c r="J151" s="220"/>
      <c r="K151" s="220"/>
      <c r="L151" s="323"/>
      <c r="M151" s="323"/>
      <c r="N151" s="220"/>
      <c r="O151" s="220"/>
      <c r="P151" s="220"/>
      <c r="Q151" s="220"/>
      <c r="R151" s="220"/>
      <c r="S151" s="220"/>
      <c r="T151" s="220"/>
      <c r="U151" s="220"/>
      <c r="V151" s="220"/>
      <c r="W151" s="220"/>
      <c r="X151" s="263"/>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row>
    <row r="152" spans="3:48" ht="19.5" hidden="1">
      <c r="C152" s="313"/>
      <c r="D152" s="220"/>
      <c r="E152" s="220"/>
      <c r="F152" s="220"/>
      <c r="G152" s="220"/>
      <c r="H152" s="220"/>
      <c r="I152" s="220"/>
      <c r="J152" s="220"/>
      <c r="K152" s="220"/>
      <c r="L152" s="323"/>
      <c r="M152" s="323"/>
      <c r="N152" s="220"/>
      <c r="O152" s="220"/>
      <c r="P152" s="220"/>
      <c r="Q152" s="220"/>
      <c r="R152" s="220"/>
      <c r="S152" s="220"/>
      <c r="T152" s="220"/>
      <c r="U152" s="220"/>
      <c r="V152" s="220"/>
      <c r="W152" s="220"/>
      <c r="X152" s="263"/>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row>
    <row r="153" spans="3:48" ht="19.5" hidden="1">
      <c r="C153" s="313"/>
      <c r="D153" s="220"/>
      <c r="E153" s="220"/>
      <c r="F153" s="220"/>
      <c r="G153" s="220"/>
      <c r="H153" s="220"/>
      <c r="I153" s="220"/>
      <c r="J153" s="220"/>
      <c r="K153" s="220"/>
      <c r="L153" s="323"/>
      <c r="M153" s="323"/>
      <c r="N153" s="220"/>
      <c r="O153" s="220"/>
      <c r="P153" s="220"/>
      <c r="Q153" s="220"/>
      <c r="R153" s="220"/>
      <c r="S153" s="220"/>
      <c r="T153" s="220"/>
      <c r="U153" s="220"/>
      <c r="V153" s="220"/>
      <c r="W153" s="220"/>
      <c r="X153" s="263"/>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row>
    <row r="154" spans="3:48" ht="19.5" hidden="1">
      <c r="C154" s="313"/>
      <c r="D154" s="220"/>
      <c r="E154" s="220"/>
      <c r="F154" s="220"/>
      <c r="G154" s="220"/>
      <c r="H154" s="220"/>
      <c r="I154" s="220"/>
      <c r="J154" s="220"/>
      <c r="K154" s="220"/>
      <c r="L154" s="323"/>
      <c r="M154" s="323"/>
      <c r="N154" s="220"/>
      <c r="O154" s="220"/>
      <c r="P154" s="220"/>
      <c r="Q154" s="220"/>
      <c r="R154" s="220"/>
      <c r="S154" s="220"/>
      <c r="T154" s="220"/>
      <c r="U154" s="220"/>
      <c r="V154" s="220"/>
      <c r="W154" s="220"/>
      <c r="X154" s="263"/>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row>
    <row r="155" spans="3:48" ht="19.5" hidden="1">
      <c r="C155" s="313"/>
      <c r="D155" s="220"/>
      <c r="E155" s="220"/>
      <c r="F155" s="220"/>
      <c r="G155" s="220"/>
      <c r="H155" s="220"/>
      <c r="I155" s="220"/>
      <c r="J155" s="220"/>
      <c r="K155" s="220"/>
      <c r="L155" s="323"/>
      <c r="M155" s="323"/>
      <c r="N155" s="220"/>
      <c r="O155" s="220"/>
      <c r="P155" s="220"/>
      <c r="Q155" s="220"/>
      <c r="R155" s="220"/>
      <c r="S155" s="220"/>
      <c r="T155" s="220"/>
      <c r="U155" s="220"/>
      <c r="V155" s="220"/>
      <c r="W155" s="220"/>
      <c r="X155" s="263"/>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row>
    <row r="156" spans="3:48" ht="19.5" hidden="1">
      <c r="C156" s="313"/>
      <c r="D156" s="220"/>
      <c r="E156" s="220"/>
      <c r="F156" s="220"/>
      <c r="G156" s="220"/>
      <c r="H156" s="220"/>
      <c r="I156" s="220"/>
      <c r="J156" s="220"/>
      <c r="K156" s="220"/>
      <c r="L156" s="323"/>
      <c r="M156" s="323"/>
      <c r="N156" s="220"/>
      <c r="O156" s="220"/>
      <c r="P156" s="220"/>
      <c r="Q156" s="220"/>
      <c r="R156" s="220"/>
      <c r="S156" s="220"/>
      <c r="T156" s="220"/>
      <c r="U156" s="220"/>
      <c r="V156" s="220"/>
      <c r="W156" s="220"/>
      <c r="X156" s="263"/>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row>
    <row r="157" spans="3:48" ht="19.5" hidden="1">
      <c r="C157" s="313"/>
      <c r="D157" s="220"/>
      <c r="E157" s="220"/>
      <c r="F157" s="220"/>
      <c r="G157" s="220"/>
      <c r="H157" s="220"/>
      <c r="I157" s="220"/>
      <c r="J157" s="220"/>
      <c r="K157" s="220"/>
      <c r="L157" s="323"/>
      <c r="M157" s="323"/>
      <c r="N157" s="220"/>
      <c r="O157" s="220"/>
      <c r="P157" s="220"/>
      <c r="Q157" s="220"/>
      <c r="R157" s="220"/>
      <c r="S157" s="220"/>
      <c r="T157" s="220"/>
      <c r="U157" s="220"/>
      <c r="V157" s="220"/>
      <c r="W157" s="220"/>
      <c r="X157" s="263"/>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row>
    <row r="158" spans="3:48" ht="19.5" hidden="1">
      <c r="C158" s="313"/>
      <c r="D158" s="220"/>
      <c r="E158" s="220"/>
      <c r="F158" s="220"/>
      <c r="G158" s="220"/>
      <c r="H158" s="220"/>
      <c r="I158" s="220"/>
      <c r="J158" s="220"/>
      <c r="K158" s="220"/>
      <c r="L158" s="323"/>
      <c r="M158" s="323"/>
      <c r="N158" s="220"/>
      <c r="O158" s="220"/>
      <c r="P158" s="220"/>
      <c r="Q158" s="220"/>
      <c r="R158" s="220"/>
      <c r="S158" s="220"/>
      <c r="T158" s="220"/>
      <c r="U158" s="220"/>
      <c r="V158" s="220"/>
      <c r="W158" s="220"/>
      <c r="X158" s="263"/>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row>
    <row r="159" spans="3:48" ht="19.5" hidden="1">
      <c r="C159" s="313"/>
      <c r="D159" s="220"/>
      <c r="E159" s="220"/>
      <c r="F159" s="220"/>
      <c r="G159" s="220"/>
      <c r="H159" s="220"/>
      <c r="I159" s="220"/>
      <c r="J159" s="220"/>
      <c r="K159" s="220"/>
      <c r="L159" s="323"/>
      <c r="M159" s="323"/>
      <c r="N159" s="220"/>
      <c r="O159" s="220"/>
      <c r="P159" s="220"/>
      <c r="Q159" s="220"/>
      <c r="R159" s="220"/>
      <c r="S159" s="220"/>
      <c r="T159" s="220"/>
      <c r="U159" s="220"/>
      <c r="V159" s="220"/>
      <c r="W159" s="220"/>
      <c r="X159" s="263"/>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row>
    <row r="160" spans="3:48" ht="19.5" hidden="1">
      <c r="C160" s="313"/>
      <c r="D160" s="220"/>
      <c r="E160" s="220"/>
      <c r="F160" s="220"/>
      <c r="G160" s="220"/>
      <c r="H160" s="220"/>
      <c r="I160" s="220"/>
      <c r="J160" s="220"/>
      <c r="K160" s="220"/>
      <c r="L160" s="323"/>
      <c r="M160" s="323"/>
      <c r="N160" s="220"/>
      <c r="O160" s="220"/>
      <c r="P160" s="220"/>
      <c r="Q160" s="220"/>
      <c r="R160" s="220"/>
      <c r="S160" s="220"/>
      <c r="T160" s="220"/>
      <c r="U160" s="220"/>
      <c r="V160" s="220"/>
      <c r="W160" s="220"/>
      <c r="X160" s="263"/>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row>
    <row r="161" spans="3:48" ht="19.5" hidden="1">
      <c r="C161" s="313"/>
      <c r="D161" s="220"/>
      <c r="E161" s="220"/>
      <c r="F161" s="220"/>
      <c r="G161" s="220"/>
      <c r="H161" s="220"/>
      <c r="I161" s="220"/>
      <c r="J161" s="220"/>
      <c r="K161" s="220"/>
      <c r="L161" s="323"/>
      <c r="M161" s="323"/>
      <c r="N161" s="220"/>
      <c r="O161" s="220"/>
      <c r="P161" s="220"/>
      <c r="Q161" s="220"/>
      <c r="R161" s="220"/>
      <c r="S161" s="220"/>
      <c r="T161" s="220"/>
      <c r="U161" s="220"/>
      <c r="V161" s="220"/>
      <c r="W161" s="220"/>
      <c r="X161" s="263"/>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row>
    <row r="162" spans="3:48" ht="19.5" hidden="1">
      <c r="C162" s="313"/>
      <c r="D162" s="220"/>
      <c r="E162" s="220"/>
      <c r="F162" s="220"/>
      <c r="G162" s="220"/>
      <c r="H162" s="220"/>
      <c r="I162" s="220"/>
      <c r="J162" s="220"/>
      <c r="K162" s="220"/>
      <c r="L162" s="323"/>
      <c r="M162" s="323"/>
      <c r="N162" s="220"/>
      <c r="O162" s="220"/>
      <c r="P162" s="220"/>
      <c r="Q162" s="220"/>
      <c r="R162" s="220"/>
      <c r="S162" s="220"/>
      <c r="T162" s="220"/>
      <c r="U162" s="220"/>
      <c r="V162" s="220"/>
      <c r="W162" s="220"/>
      <c r="X162" s="263"/>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row>
    <row r="163" spans="3:48" ht="19.5" hidden="1">
      <c r="C163" s="313"/>
      <c r="D163" s="220"/>
      <c r="E163" s="220"/>
      <c r="F163" s="220"/>
      <c r="G163" s="220"/>
      <c r="H163" s="220"/>
      <c r="I163" s="220"/>
      <c r="J163" s="220"/>
      <c r="K163" s="220"/>
      <c r="L163" s="323"/>
      <c r="M163" s="323"/>
      <c r="N163" s="220"/>
      <c r="O163" s="220"/>
      <c r="P163" s="220"/>
      <c r="Q163" s="220"/>
      <c r="R163" s="220"/>
      <c r="S163" s="220"/>
      <c r="T163" s="220"/>
      <c r="U163" s="220"/>
      <c r="V163" s="220"/>
      <c r="W163" s="220"/>
      <c r="X163" s="263"/>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row>
    <row r="164" spans="3:48" ht="19.5" hidden="1">
      <c r="C164" s="313"/>
      <c r="D164" s="220"/>
      <c r="E164" s="220"/>
      <c r="F164" s="220"/>
      <c r="G164" s="220"/>
      <c r="H164" s="220"/>
      <c r="I164" s="220"/>
      <c r="J164" s="220"/>
      <c r="K164" s="220"/>
      <c r="L164" s="323"/>
      <c r="M164" s="323"/>
      <c r="N164" s="220"/>
      <c r="O164" s="220"/>
      <c r="P164" s="220"/>
      <c r="Q164" s="220"/>
      <c r="R164" s="220"/>
      <c r="S164" s="220"/>
      <c r="T164" s="220"/>
      <c r="U164" s="220"/>
      <c r="V164" s="220"/>
      <c r="W164" s="220"/>
      <c r="X164" s="263"/>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row>
    <row r="165" spans="3:48" ht="19.5" hidden="1">
      <c r="C165" s="313"/>
      <c r="D165" s="220"/>
      <c r="E165" s="220"/>
      <c r="F165" s="220"/>
      <c r="G165" s="220"/>
      <c r="H165" s="220"/>
      <c r="I165" s="220"/>
      <c r="J165" s="220"/>
      <c r="K165" s="220"/>
      <c r="L165" s="323"/>
      <c r="M165" s="323"/>
      <c r="N165" s="220"/>
      <c r="O165" s="220"/>
      <c r="P165" s="220"/>
      <c r="Q165" s="220"/>
      <c r="R165" s="220"/>
      <c r="S165" s="220"/>
      <c r="T165" s="220"/>
      <c r="U165" s="220"/>
      <c r="V165" s="220"/>
      <c r="W165" s="220"/>
      <c r="X165" s="263"/>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row>
    <row r="166" spans="3:48">
      <c r="K166" s="410">
        <f>SUBTOTAL(9,K24:K31)</f>
        <v>15.248226950354614</v>
      </c>
      <c r="L166" s="410">
        <f>SUBTOTAL(9,L24:L31)</f>
        <v>215</v>
      </c>
      <c r="M166" s="410">
        <f>SUBTOTAL(9,M24:M31)</f>
        <v>160</v>
      </c>
      <c r="N166" s="409"/>
      <c r="O166" s="410">
        <f>SUBTOTAL(9,O24:O31)</f>
        <v>22.695035460992912</v>
      </c>
      <c r="P166" s="410">
        <f>SUBTOTAL(9,P24:P31)</f>
        <v>160</v>
      </c>
      <c r="Q166" s="410"/>
      <c r="R166" s="410">
        <f>SUBTOTAL(9,R24:R31)</f>
        <v>22.695035460992912</v>
      </c>
      <c r="S166" s="410">
        <f>R166/O166*100</f>
        <v>100</v>
      </c>
      <c r="T166" s="410">
        <f>SUBTOTAL(9,T24:T31)</f>
        <v>158.97</v>
      </c>
      <c r="U166" s="410">
        <f>T166*100/P166</f>
        <v>99.356250000000003</v>
      </c>
    </row>
  </sheetData>
  <autoFilter ref="AM1:AM165" xr:uid="{00000000-0009-0000-0000-00000C000000}">
    <filterColumn colId="0">
      <filters>
        <filter val="NADI"/>
      </filters>
    </filterColumn>
  </autoFilter>
  <mergeCells count="22">
    <mergeCell ref="AL19:AL20"/>
    <mergeCell ref="K137:L137"/>
    <mergeCell ref="J19:M19"/>
    <mergeCell ref="N19:P19"/>
    <mergeCell ref="Q19:S19"/>
    <mergeCell ref="T19:U19"/>
    <mergeCell ref="V19:X19"/>
    <mergeCell ref="Y19:AA19"/>
    <mergeCell ref="AB19:AD19"/>
    <mergeCell ref="AE19:AG19"/>
    <mergeCell ref="AH19:AI19"/>
    <mergeCell ref="AJ19:AK19"/>
    <mergeCell ref="A1:AL1"/>
    <mergeCell ref="A2:AL2"/>
    <mergeCell ref="A3:AL3"/>
    <mergeCell ref="A4:AL4"/>
    <mergeCell ref="AH6:AI6"/>
    <mergeCell ref="A19:A20"/>
    <mergeCell ref="B19:B20"/>
    <mergeCell ref="C19:C20"/>
    <mergeCell ref="D19:F19"/>
    <mergeCell ref="G19:I19"/>
  </mergeCells>
  <pageMargins left="0.3" right="0.2" top="0.25" bottom="0.45" header="0.2" footer="0.3"/>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AV166"/>
  <sheetViews>
    <sheetView view="pageBreakPreview" zoomScale="95" zoomScaleNormal="70" zoomScaleSheetLayoutView="95" workbookViewId="0">
      <selection activeCell="N181" sqref="N181"/>
    </sheetView>
  </sheetViews>
  <sheetFormatPr defaultRowHeight="12.75"/>
  <cols>
    <col min="1" max="1" width="11.28515625" customWidth="1"/>
    <col min="2" max="2" width="33.85546875" customWidth="1"/>
    <col min="3" max="3" width="10.140625" style="314" customWidth="1"/>
    <col min="4" max="9" width="9.7109375" hidden="1" customWidth="1"/>
    <col min="10" max="11" width="9.7109375" customWidth="1"/>
    <col min="12" max="12" width="9.7109375" style="324" customWidth="1"/>
    <col min="13" max="13" width="11.28515625" style="324" customWidth="1"/>
    <col min="14" max="21" width="9.7109375" customWidth="1"/>
    <col min="22" max="23" width="9.7109375" hidden="1" customWidth="1"/>
    <col min="24" max="24" width="9.7109375" style="71" hidden="1" customWidth="1"/>
    <col min="25" max="37" width="9.7109375" hidden="1" customWidth="1"/>
    <col min="38" max="38" width="17.7109375" customWidth="1"/>
  </cols>
  <sheetData>
    <row r="1" spans="1:38" s="220" customFormat="1" ht="32.450000000000003" customHeight="1">
      <c r="A1" s="612" t="s">
        <v>799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row>
    <row r="2" spans="1:38" s="220" customFormat="1" ht="32.450000000000003" hidden="1" customHeight="1">
      <c r="A2" s="612" t="s">
        <v>798</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row>
    <row r="3" spans="1:38" s="220" customFormat="1" ht="32.450000000000003" hidden="1" customHeight="1">
      <c r="A3" s="628" t="s">
        <v>800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row>
    <row r="4" spans="1:38" s="220" customFormat="1" ht="27.6" hidden="1" customHeight="1">
      <c r="A4" s="613" t="s">
        <v>819</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row>
    <row r="5" spans="1:38" s="220" customFormat="1" ht="28.5" hidden="1">
      <c r="A5" s="265"/>
      <c r="B5" s="265"/>
      <c r="C5" s="265"/>
      <c r="D5" s="265"/>
      <c r="E5" s="265"/>
      <c r="F5" s="265"/>
      <c r="G5" s="265"/>
      <c r="H5" s="265"/>
      <c r="I5" s="265"/>
      <c r="J5" s="265"/>
      <c r="K5" s="265"/>
      <c r="L5" s="318"/>
      <c r="M5" s="318"/>
      <c r="N5" s="265"/>
      <c r="O5" s="263"/>
      <c r="P5" s="263"/>
      <c r="Q5" s="265"/>
      <c r="R5" s="265"/>
      <c r="S5" s="264"/>
      <c r="T5" s="264"/>
      <c r="U5" s="264"/>
      <c r="V5" s="264"/>
      <c r="W5" s="264"/>
      <c r="X5" s="264"/>
      <c r="Y5" s="264"/>
      <c r="Z5" s="264"/>
      <c r="AA5" s="264"/>
      <c r="AB5" s="264"/>
      <c r="AC5" s="264"/>
      <c r="AD5" s="264"/>
      <c r="AE5" s="264"/>
      <c r="AF5" s="264"/>
      <c r="AG5" s="264"/>
      <c r="AH5" s="265"/>
      <c r="AI5" s="265"/>
      <c r="AJ5" s="265"/>
      <c r="AK5" s="265"/>
      <c r="AL5" s="265"/>
    </row>
    <row r="6" spans="1:38" s="220" customFormat="1" ht="24" hidden="1">
      <c r="A6" s="266" t="s">
        <v>771</v>
      </c>
      <c r="B6" s="266"/>
      <c r="C6" s="309"/>
      <c r="D6" s="266"/>
      <c r="E6" s="266"/>
      <c r="F6" s="266"/>
      <c r="G6" s="266"/>
      <c r="H6" s="266"/>
      <c r="I6" s="266"/>
      <c r="J6" s="267"/>
      <c r="K6" s="267"/>
      <c r="L6" s="319"/>
      <c r="M6" s="319"/>
      <c r="N6" s="263"/>
      <c r="O6" s="263"/>
      <c r="P6" s="263"/>
      <c r="Q6" s="263"/>
      <c r="R6" s="263"/>
      <c r="S6" s="263"/>
      <c r="T6" s="263"/>
      <c r="U6" s="263"/>
      <c r="V6" s="266" t="s">
        <v>785</v>
      </c>
      <c r="W6" s="263"/>
      <c r="X6" s="267"/>
      <c r="Y6" s="268">
        <f>'एकिकृत बिवरण'!$J$13/100000-331.31</f>
        <v>600.97694000000001</v>
      </c>
      <c r="Z6" s="269"/>
      <c r="AA6" s="270">
        <v>331.31</v>
      </c>
      <c r="AB6" s="270"/>
      <c r="AC6" s="270"/>
      <c r="AD6" s="270"/>
      <c r="AE6" s="270"/>
      <c r="AF6" s="270"/>
      <c r="AG6" s="270"/>
      <c r="AH6" s="614">
        <f>Y6+AA6</f>
        <v>932.28693999999996</v>
      </c>
      <c r="AI6" s="614"/>
      <c r="AJ6" s="266"/>
      <c r="AK6" s="266"/>
    </row>
    <row r="7" spans="1:38" s="220" customFormat="1" ht="24" hidden="1">
      <c r="A7" s="271" t="s">
        <v>772</v>
      </c>
      <c r="B7" s="266"/>
      <c r="C7" s="309"/>
      <c r="D7" s="266"/>
      <c r="E7" s="266"/>
      <c r="F7" s="266"/>
      <c r="G7" s="266"/>
      <c r="H7" s="266"/>
      <c r="I7" s="266"/>
      <c r="J7" s="267"/>
      <c r="K7" s="267"/>
      <c r="L7" s="319"/>
      <c r="M7" s="319"/>
      <c r="N7" s="263"/>
      <c r="O7" s="263"/>
      <c r="P7" s="263"/>
      <c r="Q7" s="267"/>
      <c r="R7" s="267"/>
      <c r="S7" s="267"/>
      <c r="T7" s="267"/>
      <c r="U7" s="267"/>
      <c r="V7" s="273" t="s">
        <v>779</v>
      </c>
      <c r="W7" s="267"/>
      <c r="X7" s="267"/>
      <c r="Y7" s="267"/>
      <c r="Z7" s="267"/>
      <c r="AA7" s="266"/>
      <c r="AB7" s="266"/>
      <c r="AC7" s="266"/>
      <c r="AD7" s="266"/>
      <c r="AE7" s="266"/>
      <c r="AF7" s="266"/>
      <c r="AG7" s="266"/>
      <c r="AH7" s="266"/>
      <c r="AI7" s="266"/>
      <c r="AJ7" s="266"/>
      <c r="AK7" s="266"/>
    </row>
    <row r="8" spans="1:38" s="220" customFormat="1" ht="24" hidden="1">
      <c r="A8" s="266" t="s">
        <v>773</v>
      </c>
      <c r="B8" s="266"/>
      <c r="C8" s="309"/>
      <c r="D8" s="266"/>
      <c r="E8" s="266"/>
      <c r="F8" s="266"/>
      <c r="G8" s="266"/>
      <c r="H8" s="266"/>
      <c r="I8" s="266"/>
      <c r="J8" s="267"/>
      <c r="K8" s="267"/>
      <c r="L8" s="319"/>
      <c r="M8" s="319"/>
      <c r="N8" s="263"/>
      <c r="O8" s="263"/>
      <c r="P8" s="263"/>
      <c r="Q8" s="263"/>
      <c r="R8" s="263"/>
      <c r="V8" s="267" t="s">
        <v>786</v>
      </c>
      <c r="W8" s="263"/>
      <c r="X8" s="263"/>
      <c r="Y8" s="267"/>
      <c r="Z8" s="267"/>
      <c r="AA8" s="266"/>
      <c r="AB8" s="266"/>
      <c r="AC8" s="266"/>
      <c r="AD8" s="266"/>
      <c r="AE8" s="266"/>
      <c r="AF8" s="266"/>
      <c r="AG8" s="266"/>
      <c r="AH8" s="266"/>
      <c r="AI8" s="266"/>
      <c r="AJ8" s="266"/>
      <c r="AK8" s="266"/>
    </row>
    <row r="9" spans="1:38" s="220" customFormat="1" ht="24" hidden="1">
      <c r="A9" s="266" t="s">
        <v>774</v>
      </c>
      <c r="B9" s="266"/>
      <c r="C9" s="309"/>
      <c r="D9" s="266"/>
      <c r="E9" s="266"/>
      <c r="F9" s="266"/>
      <c r="G9" s="266"/>
      <c r="H9" s="266"/>
      <c r="I9" s="266"/>
      <c r="J9" s="267"/>
      <c r="K9" s="267"/>
      <c r="L9" s="319"/>
      <c r="M9" s="319"/>
      <c r="N9" s="263"/>
      <c r="O9" s="267"/>
      <c r="P9" s="263"/>
      <c r="Q9" s="267"/>
      <c r="R9" s="267"/>
      <c r="S9" s="267"/>
      <c r="T9" s="267"/>
      <c r="U9" s="267"/>
      <c r="V9" s="267"/>
      <c r="W9" s="267"/>
      <c r="X9" s="267"/>
      <c r="Y9" s="267"/>
      <c r="Z9" s="267"/>
      <c r="AA9" s="266"/>
      <c r="AB9" s="266"/>
      <c r="AC9" s="266"/>
      <c r="AD9" s="266"/>
      <c r="AE9" s="266"/>
      <c r="AF9" s="266"/>
      <c r="AG9" s="266"/>
      <c r="AH9" s="266"/>
      <c r="AI9" s="266"/>
      <c r="AJ9" s="266"/>
      <c r="AK9" s="266"/>
    </row>
    <row r="10" spans="1:38" s="220" customFormat="1" ht="24" hidden="1">
      <c r="A10" s="266" t="s">
        <v>775</v>
      </c>
      <c r="B10" s="266"/>
      <c r="C10" s="309"/>
      <c r="D10" s="266"/>
      <c r="E10" s="266"/>
      <c r="F10" s="266"/>
      <c r="G10" s="266"/>
      <c r="H10" s="266"/>
      <c r="I10" s="266"/>
      <c r="J10" s="267"/>
      <c r="K10" s="267"/>
      <c r="L10" s="319"/>
      <c r="M10" s="319"/>
      <c r="N10" s="263"/>
      <c r="O10" s="263"/>
      <c r="P10" s="263"/>
      <c r="Q10" s="263"/>
      <c r="R10" s="263"/>
      <c r="S10" s="267"/>
      <c r="T10" s="267"/>
      <c r="U10" s="267"/>
      <c r="W10" s="267" t="s">
        <v>793</v>
      </c>
      <c r="Y10" s="267"/>
      <c r="Z10" s="267"/>
      <c r="AA10" s="266"/>
      <c r="AB10" s="266"/>
      <c r="AC10" s="266"/>
      <c r="AD10" s="266"/>
      <c r="AE10" s="266"/>
      <c r="AF10" s="266"/>
      <c r="AG10" s="266"/>
      <c r="AH10" s="266"/>
      <c r="AI10" s="266"/>
      <c r="AJ10" s="266"/>
      <c r="AK10" s="266"/>
    </row>
    <row r="11" spans="1:38" s="220" customFormat="1" ht="24" hidden="1">
      <c r="A11" s="266" t="s">
        <v>776</v>
      </c>
      <c r="B11" s="266"/>
      <c r="C11" s="309"/>
      <c r="D11" s="266"/>
      <c r="E11" s="266"/>
      <c r="F11" s="266"/>
      <c r="G11" s="266"/>
      <c r="H11" s="266"/>
      <c r="I11" s="266"/>
      <c r="J11" s="267"/>
      <c r="K11" s="267"/>
      <c r="L11" s="319"/>
      <c r="M11" s="319"/>
      <c r="N11" s="263"/>
      <c r="O11" s="267"/>
      <c r="P11" s="263"/>
      <c r="Q11" s="267"/>
      <c r="R11" s="267"/>
      <c r="S11" s="267"/>
      <c r="T11" s="267"/>
      <c r="U11" s="267"/>
      <c r="V11" s="267"/>
      <c r="W11" s="267"/>
      <c r="X11" s="267"/>
      <c r="Y11" s="267"/>
      <c r="Z11" s="267"/>
      <c r="AA11" s="266"/>
      <c r="AB11" s="266"/>
      <c r="AC11" s="266"/>
      <c r="AD11" s="266"/>
      <c r="AE11" s="266"/>
      <c r="AF11" s="266"/>
      <c r="AG11" s="266"/>
      <c r="AH11" s="266"/>
      <c r="AI11" s="266"/>
      <c r="AJ11" s="266"/>
      <c r="AK11" s="266"/>
    </row>
    <row r="12" spans="1:38" s="220" customFormat="1" ht="24" hidden="1">
      <c r="A12" s="266" t="s">
        <v>777</v>
      </c>
      <c r="B12" s="266"/>
      <c r="C12" s="309"/>
      <c r="D12" s="266"/>
      <c r="E12" s="266"/>
      <c r="F12" s="266"/>
      <c r="G12" s="266"/>
      <c r="H12" s="266"/>
      <c r="I12" s="266"/>
      <c r="J12" s="267"/>
      <c r="K12" s="267"/>
      <c r="L12" s="319"/>
      <c r="M12" s="319"/>
      <c r="N12" s="263"/>
      <c r="O12" s="263"/>
      <c r="P12" s="263"/>
      <c r="Q12" s="263"/>
      <c r="R12" s="263"/>
      <c r="S12" s="267"/>
      <c r="T12" s="267"/>
      <c r="U12" s="267"/>
      <c r="V12" s="267" t="s">
        <v>787</v>
      </c>
      <c r="W12" s="263"/>
      <c r="X12" s="267"/>
      <c r="Y12" s="267"/>
      <c r="Z12" s="267"/>
      <c r="AA12" s="266"/>
      <c r="AB12" s="266"/>
      <c r="AC12" s="266"/>
      <c r="AD12" s="266"/>
      <c r="AE12" s="266"/>
      <c r="AF12" s="266"/>
      <c r="AG12" s="266"/>
      <c r="AH12" s="266"/>
      <c r="AI12" s="266"/>
      <c r="AJ12" s="266"/>
      <c r="AK12" s="266"/>
    </row>
    <row r="13" spans="1:38" s="220" customFormat="1" ht="24" hidden="1">
      <c r="A13" s="266" t="s">
        <v>778</v>
      </c>
      <c r="B13" s="266"/>
      <c r="C13" s="310"/>
      <c r="D13" s="272"/>
      <c r="E13" s="272"/>
      <c r="F13" s="272"/>
      <c r="G13" s="272"/>
      <c r="H13" s="272"/>
      <c r="I13" s="272"/>
      <c r="J13" s="267"/>
      <c r="K13" s="267"/>
      <c r="L13" s="319"/>
      <c r="M13" s="319"/>
      <c r="N13" s="263"/>
      <c r="O13" s="263"/>
      <c r="P13" s="263"/>
      <c r="Q13" s="263"/>
      <c r="R13" s="263"/>
      <c r="S13" s="267"/>
      <c r="T13" s="267"/>
      <c r="U13" s="267"/>
      <c r="V13" s="267" t="s">
        <v>788</v>
      </c>
      <c r="W13" s="263"/>
      <c r="X13" s="267"/>
      <c r="Y13" s="267"/>
      <c r="Z13" s="267"/>
      <c r="AA13" s="266"/>
      <c r="AB13" s="266"/>
      <c r="AC13" s="266"/>
      <c r="AD13" s="266"/>
      <c r="AE13" s="266"/>
      <c r="AF13" s="266"/>
      <c r="AG13" s="266"/>
      <c r="AH13" s="266"/>
      <c r="AI13" s="266"/>
      <c r="AJ13" s="266"/>
      <c r="AK13" s="266"/>
    </row>
    <row r="14" spans="1:38" s="220" customFormat="1" ht="24" hidden="1">
      <c r="A14" s="273" t="s">
        <v>779</v>
      </c>
      <c r="B14" s="266"/>
      <c r="C14" s="310"/>
      <c r="D14" s="272"/>
      <c r="E14" s="272"/>
      <c r="F14" s="272"/>
      <c r="G14" s="272"/>
      <c r="H14" s="272"/>
      <c r="I14" s="272"/>
      <c r="J14" s="267"/>
      <c r="K14" s="267"/>
      <c r="L14" s="319"/>
      <c r="M14" s="319"/>
      <c r="N14" s="263"/>
      <c r="O14" s="263"/>
      <c r="P14" s="263"/>
      <c r="Q14" s="267"/>
      <c r="R14" s="267"/>
      <c r="S14" s="267"/>
      <c r="T14" s="267"/>
      <c r="U14" s="267"/>
      <c r="V14" s="267" t="s">
        <v>789</v>
      </c>
      <c r="W14" s="267"/>
      <c r="X14" s="267"/>
      <c r="Y14" s="267"/>
      <c r="Z14" s="267"/>
      <c r="AA14" s="266"/>
      <c r="AB14" s="266"/>
      <c r="AC14" s="266"/>
      <c r="AD14" s="266"/>
      <c r="AE14" s="266"/>
      <c r="AF14" s="266"/>
      <c r="AG14" s="266"/>
      <c r="AH14" s="266"/>
      <c r="AI14" s="266"/>
      <c r="AJ14" s="266"/>
      <c r="AL14" s="274" t="e">
        <f>Y6/#REF!*100</f>
        <v>#REF!</v>
      </c>
    </row>
    <row r="15" spans="1:38" s="220" customFormat="1" ht="24" hidden="1">
      <c r="A15" s="266" t="s">
        <v>780</v>
      </c>
      <c r="B15" s="266"/>
      <c r="C15" s="309"/>
      <c r="D15" s="266"/>
      <c r="E15" s="266"/>
      <c r="F15" s="266"/>
      <c r="G15" s="266"/>
      <c r="H15" s="266"/>
      <c r="I15" s="266"/>
      <c r="J15" s="267"/>
      <c r="K15" s="267"/>
      <c r="L15" s="319"/>
      <c r="M15" s="319"/>
      <c r="N15" s="263"/>
      <c r="O15" s="263"/>
      <c r="P15" s="263"/>
      <c r="Q15" s="267"/>
      <c r="R15" s="267"/>
      <c r="S15" s="267"/>
      <c r="T15" s="267"/>
      <c r="U15" s="267"/>
      <c r="V15" s="267" t="s">
        <v>790</v>
      </c>
      <c r="W15" s="267"/>
      <c r="X15" s="267"/>
      <c r="Y15" s="267"/>
      <c r="Z15" s="267"/>
      <c r="AA15" s="266"/>
      <c r="AB15" s="266"/>
      <c r="AC15" s="266"/>
      <c r="AD15" s="266"/>
      <c r="AE15" s="266"/>
      <c r="AF15" s="266"/>
      <c r="AG15" s="266"/>
      <c r="AH15" s="266"/>
      <c r="AI15" s="266"/>
      <c r="AJ15" s="266"/>
      <c r="AL15" s="275">
        <f>AH6/L136*100</f>
        <v>66.119641134751788</v>
      </c>
    </row>
    <row r="16" spans="1:38" s="220" customFormat="1" ht="24" hidden="1">
      <c r="A16" s="266" t="s">
        <v>781</v>
      </c>
      <c r="B16" s="266"/>
      <c r="C16" s="309"/>
      <c r="D16" s="266"/>
      <c r="E16" s="266"/>
      <c r="F16" s="266"/>
      <c r="G16" s="266"/>
      <c r="H16" s="266"/>
      <c r="I16" s="266"/>
      <c r="J16" s="267"/>
      <c r="K16" s="267"/>
      <c r="L16" s="319"/>
      <c r="M16" s="319"/>
      <c r="N16" s="263"/>
      <c r="O16" s="263"/>
      <c r="P16" s="263"/>
      <c r="Q16" s="267"/>
      <c r="R16" s="267"/>
      <c r="S16" s="267"/>
      <c r="T16" s="267"/>
      <c r="U16" s="267"/>
      <c r="V16" s="267" t="s">
        <v>791</v>
      </c>
      <c r="W16" s="267"/>
      <c r="X16" s="267"/>
      <c r="Y16" s="267"/>
      <c r="Z16" s="267"/>
      <c r="AA16" s="266"/>
      <c r="AB16" s="266"/>
      <c r="AC16" s="266"/>
      <c r="AD16" s="266"/>
      <c r="AE16" s="266"/>
      <c r="AF16" s="266"/>
      <c r="AG16" s="266"/>
      <c r="AH16" s="266"/>
      <c r="AI16" s="266"/>
      <c r="AJ16" s="266"/>
      <c r="AK16" s="266"/>
      <c r="AL16" s="266"/>
    </row>
    <row r="17" spans="1:48" s="220" customFormat="1" ht="24" hidden="1">
      <c r="A17" s="266" t="s">
        <v>782</v>
      </c>
      <c r="B17" s="266"/>
      <c r="C17" s="309"/>
      <c r="D17" s="266"/>
      <c r="E17" s="266"/>
      <c r="F17" s="266"/>
      <c r="G17" s="266"/>
      <c r="H17" s="266"/>
      <c r="I17" s="266"/>
      <c r="J17" s="267"/>
      <c r="K17" s="267"/>
      <c r="L17" s="319"/>
      <c r="M17" s="319"/>
      <c r="N17" s="263"/>
      <c r="O17" s="263"/>
      <c r="P17" s="263"/>
      <c r="Q17" s="267"/>
      <c r="R17" s="267"/>
      <c r="S17" s="267"/>
      <c r="T17" s="267"/>
      <c r="U17" s="267"/>
      <c r="V17" s="267" t="s">
        <v>792</v>
      </c>
      <c r="W17" s="267"/>
      <c r="X17" s="267"/>
      <c r="Y17" s="267"/>
      <c r="Z17" s="267"/>
      <c r="AA17" s="266"/>
      <c r="AB17" s="266"/>
      <c r="AC17" s="266"/>
      <c r="AD17" s="266"/>
      <c r="AE17" s="266"/>
      <c r="AF17" s="266"/>
      <c r="AG17" s="266"/>
      <c r="AH17" s="266"/>
      <c r="AI17" s="266"/>
      <c r="AJ17" s="266"/>
      <c r="AL17" s="276">
        <f>AI136</f>
        <v>3.410283687943263</v>
      </c>
    </row>
    <row r="18" spans="1:48" s="220" customFormat="1" ht="24" hidden="1">
      <c r="A18" s="266" t="s">
        <v>806</v>
      </c>
      <c r="B18" s="266"/>
      <c r="C18" s="309"/>
      <c r="D18" s="266"/>
      <c r="E18" s="266"/>
      <c r="F18" s="266"/>
      <c r="G18" s="266"/>
      <c r="H18" s="266"/>
      <c r="I18" s="266"/>
      <c r="J18" s="267"/>
      <c r="K18" s="267"/>
      <c r="L18" s="319"/>
      <c r="M18" s="319"/>
      <c r="N18" s="267"/>
      <c r="O18" s="267"/>
      <c r="P18" s="267"/>
      <c r="Q18" s="267"/>
      <c r="R18" s="267"/>
      <c r="S18" s="267"/>
      <c r="T18" s="344" t="s">
        <v>811</v>
      </c>
      <c r="U18" s="345">
        <f>T135</f>
        <v>683.29</v>
      </c>
      <c r="V18" s="267"/>
      <c r="W18" s="267"/>
      <c r="X18" s="267"/>
      <c r="Y18" s="267"/>
      <c r="Z18" s="267"/>
      <c r="AA18" s="266"/>
      <c r="AB18" s="266"/>
      <c r="AC18" s="266"/>
      <c r="AD18" s="266"/>
      <c r="AE18" s="266"/>
      <c r="AF18" s="266"/>
      <c r="AG18" s="266"/>
      <c r="AH18" s="266"/>
      <c r="AI18" s="266"/>
      <c r="AJ18" s="330" t="s">
        <v>802</v>
      </c>
      <c r="AK18" s="266"/>
    </row>
    <row r="19" spans="1:48" s="220" customFormat="1" ht="45.6" hidden="1" customHeight="1">
      <c r="A19" s="621" t="s">
        <v>752</v>
      </c>
      <c r="B19" s="621" t="s">
        <v>753</v>
      </c>
      <c r="C19" s="611" t="s">
        <v>754</v>
      </c>
      <c r="D19" s="611" t="s">
        <v>755</v>
      </c>
      <c r="E19" s="611"/>
      <c r="F19" s="611"/>
      <c r="G19" s="611" t="s">
        <v>759</v>
      </c>
      <c r="H19" s="611"/>
      <c r="I19" s="611"/>
      <c r="J19" s="622" t="s">
        <v>760</v>
      </c>
      <c r="K19" s="623"/>
      <c r="L19" s="623"/>
      <c r="M19" s="624"/>
      <c r="N19" s="611" t="s">
        <v>815</v>
      </c>
      <c r="O19" s="626"/>
      <c r="P19" s="627"/>
      <c r="Q19" s="611" t="s">
        <v>816</v>
      </c>
      <c r="R19" s="611"/>
      <c r="S19" s="611"/>
      <c r="T19" s="611" t="s">
        <v>817</v>
      </c>
      <c r="U19" s="611"/>
      <c r="V19" s="621" t="s">
        <v>764</v>
      </c>
      <c r="W19" s="621"/>
      <c r="X19" s="621"/>
      <c r="Y19" s="611" t="s">
        <v>765</v>
      </c>
      <c r="Z19" s="611"/>
      <c r="AA19" s="611"/>
      <c r="AB19" s="611" t="s">
        <v>767</v>
      </c>
      <c r="AC19" s="611"/>
      <c r="AD19" s="611"/>
      <c r="AE19" s="611" t="s">
        <v>766</v>
      </c>
      <c r="AF19" s="611"/>
      <c r="AG19" s="611"/>
      <c r="AH19" s="618" t="s">
        <v>768</v>
      </c>
      <c r="AI19" s="618"/>
      <c r="AJ19" s="618" t="s">
        <v>769</v>
      </c>
      <c r="AK19" s="618"/>
      <c r="AL19" s="621" t="s">
        <v>497</v>
      </c>
    </row>
    <row r="20" spans="1:48" s="220" customFormat="1" ht="28.5" hidden="1" customHeight="1">
      <c r="A20" s="621"/>
      <c r="B20" s="621"/>
      <c r="C20" s="611"/>
      <c r="D20" s="349" t="s">
        <v>761</v>
      </c>
      <c r="E20" s="349" t="s">
        <v>757</v>
      </c>
      <c r="F20" s="349" t="s">
        <v>758</v>
      </c>
      <c r="G20" s="349" t="s">
        <v>761</v>
      </c>
      <c r="H20" s="349" t="s">
        <v>757</v>
      </c>
      <c r="I20" s="349" t="s">
        <v>758</v>
      </c>
      <c r="J20" s="349" t="s">
        <v>761</v>
      </c>
      <c r="K20" s="349" t="s">
        <v>757</v>
      </c>
      <c r="L20" s="335" t="s">
        <v>758</v>
      </c>
      <c r="M20" s="335" t="s">
        <v>814</v>
      </c>
      <c r="N20" s="349" t="s">
        <v>761</v>
      </c>
      <c r="O20" s="349" t="s">
        <v>757</v>
      </c>
      <c r="P20" s="349" t="s">
        <v>758</v>
      </c>
      <c r="Q20" s="349" t="s">
        <v>761</v>
      </c>
      <c r="R20" s="349" t="s">
        <v>757</v>
      </c>
      <c r="S20" s="349" t="s">
        <v>805</v>
      </c>
      <c r="T20" s="349" t="s">
        <v>804</v>
      </c>
      <c r="U20" s="349" t="s">
        <v>805</v>
      </c>
      <c r="V20" s="349" t="s">
        <v>761</v>
      </c>
      <c r="W20" s="349" t="s">
        <v>757</v>
      </c>
      <c r="X20" s="349" t="s">
        <v>758</v>
      </c>
      <c r="Y20" s="349" t="s">
        <v>761</v>
      </c>
      <c r="Z20" s="349" t="s">
        <v>757</v>
      </c>
      <c r="AA20" s="349" t="s">
        <v>758</v>
      </c>
      <c r="AB20" s="349"/>
      <c r="AC20" s="349"/>
      <c r="AD20" s="349"/>
      <c r="AE20" s="349"/>
      <c r="AF20" s="349"/>
      <c r="AG20" s="349"/>
      <c r="AH20" s="336"/>
      <c r="AI20" s="336"/>
      <c r="AJ20" s="348"/>
      <c r="AK20" s="337"/>
      <c r="AL20" s="621"/>
    </row>
    <row r="21" spans="1:48" s="220" customFormat="1" ht="19.5" hidden="1">
      <c r="A21" s="278">
        <v>1</v>
      </c>
      <c r="B21" s="278">
        <v>2</v>
      </c>
      <c r="C21" s="278">
        <v>3</v>
      </c>
      <c r="D21" s="278">
        <v>4</v>
      </c>
      <c r="E21" s="278">
        <v>5</v>
      </c>
      <c r="F21" s="278">
        <v>6</v>
      </c>
      <c r="G21" s="278">
        <v>7</v>
      </c>
      <c r="H21" s="278">
        <v>8</v>
      </c>
      <c r="I21" s="278">
        <v>9</v>
      </c>
      <c r="J21" s="347">
        <v>4</v>
      </c>
      <c r="K21" s="278">
        <v>5</v>
      </c>
      <c r="L21" s="278">
        <v>6</v>
      </c>
      <c r="M21" s="278"/>
      <c r="N21" s="278">
        <v>7</v>
      </c>
      <c r="O21" s="278">
        <v>8</v>
      </c>
      <c r="P21" s="278">
        <v>9</v>
      </c>
      <c r="Q21" s="278">
        <v>10</v>
      </c>
      <c r="R21" s="278">
        <v>11</v>
      </c>
      <c r="S21" s="347">
        <v>12</v>
      </c>
      <c r="T21" s="278">
        <v>13</v>
      </c>
      <c r="U21" s="278">
        <v>14</v>
      </c>
      <c r="V21" s="278">
        <v>13</v>
      </c>
      <c r="W21" s="278">
        <v>13.5</v>
      </c>
      <c r="X21" s="278">
        <v>14</v>
      </c>
      <c r="Y21" s="278">
        <v>14.5</v>
      </c>
      <c r="Z21" s="278">
        <v>15</v>
      </c>
      <c r="AA21" s="347">
        <v>15.5</v>
      </c>
      <c r="AB21" s="278">
        <v>16</v>
      </c>
      <c r="AC21" s="278">
        <v>16.5</v>
      </c>
      <c r="AD21" s="278">
        <v>17</v>
      </c>
      <c r="AE21" s="278">
        <v>17.5</v>
      </c>
      <c r="AF21" s="278">
        <v>18</v>
      </c>
      <c r="AG21" s="278">
        <v>18.5</v>
      </c>
      <c r="AH21" s="278">
        <v>19</v>
      </c>
      <c r="AI21" s="347">
        <v>19.5</v>
      </c>
      <c r="AJ21" s="278">
        <v>20</v>
      </c>
      <c r="AK21" s="278">
        <v>20.5</v>
      </c>
      <c r="AL21" s="278">
        <v>15</v>
      </c>
    </row>
    <row r="22" spans="1:48" s="350" customFormat="1" ht="13.15" hidden="1" customHeight="1">
      <c r="A22" s="301" t="s">
        <v>511</v>
      </c>
      <c r="B22" s="301" t="s">
        <v>602</v>
      </c>
      <c r="C22" s="282" t="s">
        <v>794</v>
      </c>
      <c r="D22" s="282"/>
      <c r="E22" s="282"/>
      <c r="F22" s="282"/>
      <c r="G22" s="282"/>
      <c r="H22" s="282"/>
      <c r="I22" s="282"/>
      <c r="J22" s="367">
        <v>1</v>
      </c>
      <c r="K22" s="368">
        <f>(L22/$L$135)*100</f>
        <v>3.191489361702128</v>
      </c>
      <c r="L22" s="368">
        <v>45</v>
      </c>
      <c r="M22" s="368">
        <v>0</v>
      </c>
      <c r="N22" s="367">
        <f>J22</f>
        <v>1</v>
      </c>
      <c r="O22" s="368">
        <f>P22/$P$136*100</f>
        <v>0</v>
      </c>
      <c r="P22" s="368">
        <f>M22</f>
        <v>0</v>
      </c>
      <c r="Q22" s="367">
        <v>0.1</v>
      </c>
      <c r="R22" s="368">
        <f t="shared" ref="R22:R85" si="0">IF(N22=0,Q22/J22*K22,Q22/N22*O22)</f>
        <v>0</v>
      </c>
      <c r="S22" s="367">
        <f t="shared" ref="S22:S30" si="1">ROUND(IF(O22=0,R22/K22*100,R22/O22*100),2)</f>
        <v>0</v>
      </c>
      <c r="T22" s="367">
        <v>0</v>
      </c>
      <c r="U22" s="367">
        <f>IFERROR(T22/P22*100,0)</f>
        <v>0</v>
      </c>
      <c r="V22" s="367"/>
      <c r="W22" s="367"/>
      <c r="X22" s="367"/>
      <c r="Y22" s="367"/>
      <c r="Z22" s="367"/>
      <c r="AA22" s="367"/>
      <c r="AB22" s="367"/>
      <c r="AC22" s="367"/>
      <c r="AD22" s="367"/>
      <c r="AE22" s="367"/>
      <c r="AF22" s="367"/>
      <c r="AG22" s="367"/>
      <c r="AH22" s="367"/>
      <c r="AI22" s="367"/>
      <c r="AJ22" s="367"/>
      <c r="AK22" s="367"/>
      <c r="AL22" s="405"/>
      <c r="AM22" s="263"/>
      <c r="AN22" s="263"/>
      <c r="AO22" s="263"/>
      <c r="AP22" s="263"/>
      <c r="AQ22" s="263"/>
      <c r="AR22" s="263"/>
      <c r="AS22" s="263"/>
      <c r="AT22" s="263"/>
      <c r="AU22" s="263"/>
      <c r="AV22" s="263"/>
    </row>
    <row r="23" spans="1:48" s="350" customFormat="1" ht="39">
      <c r="A23" s="304" t="s">
        <v>517</v>
      </c>
      <c r="B23" s="380" t="s">
        <v>603</v>
      </c>
      <c r="C23" s="284" t="s">
        <v>795</v>
      </c>
      <c r="D23" s="284"/>
      <c r="E23" s="284"/>
      <c r="F23" s="284"/>
      <c r="G23" s="284"/>
      <c r="H23" s="284"/>
      <c r="I23" s="284"/>
      <c r="J23" s="366">
        <v>20</v>
      </c>
      <c r="K23" s="370">
        <f>(L23/$L$135)*100</f>
        <v>10.638297872340427</v>
      </c>
      <c r="L23" s="370">
        <v>150</v>
      </c>
      <c r="M23" s="370">
        <v>106.5</v>
      </c>
      <c r="N23" s="366">
        <f t="shared" ref="N23:N86" si="2">J23</f>
        <v>20</v>
      </c>
      <c r="O23" s="370">
        <f t="shared" ref="O23:O86" si="3">P23/$P$136*100</f>
        <v>15.106382978723406</v>
      </c>
      <c r="P23" s="370">
        <f t="shared" ref="P23:P86" si="4">M23</f>
        <v>106.5</v>
      </c>
      <c r="Q23" s="366">
        <v>20</v>
      </c>
      <c r="R23" s="370">
        <f t="shared" si="0"/>
        <v>15.106382978723406</v>
      </c>
      <c r="S23" s="366">
        <f t="shared" si="1"/>
        <v>100</v>
      </c>
      <c r="T23" s="366">
        <v>105.39</v>
      </c>
      <c r="U23" s="370">
        <f t="shared" ref="U23:U86" si="5">IFERROR(T23/P23*100,0)</f>
        <v>98.957746478873247</v>
      </c>
      <c r="V23" s="366"/>
      <c r="W23" s="366"/>
      <c r="X23" s="366"/>
      <c r="Y23" s="366"/>
      <c r="Z23" s="366"/>
      <c r="AA23" s="366"/>
      <c r="AB23" s="366"/>
      <c r="AC23" s="366"/>
      <c r="AD23" s="366"/>
      <c r="AE23" s="366"/>
      <c r="AF23" s="366"/>
      <c r="AG23" s="366"/>
      <c r="AH23" s="366"/>
      <c r="AI23" s="366"/>
      <c r="AJ23" s="366"/>
      <c r="AK23" s="366"/>
      <c r="AL23" s="360"/>
      <c r="AM23" s="263" t="s">
        <v>821</v>
      </c>
      <c r="AN23" s="263"/>
      <c r="AO23" s="263"/>
      <c r="AP23" s="263"/>
      <c r="AQ23" s="263"/>
      <c r="AR23" s="263"/>
      <c r="AS23" s="263"/>
      <c r="AT23" s="263"/>
      <c r="AU23" s="263"/>
      <c r="AV23" s="263"/>
    </row>
    <row r="24" spans="1:48" s="350" customFormat="1" ht="39" hidden="1">
      <c r="A24" s="304" t="s">
        <v>232</v>
      </c>
      <c r="B24" s="304" t="s">
        <v>604</v>
      </c>
      <c r="C24" s="284" t="s">
        <v>794</v>
      </c>
      <c r="D24" s="284"/>
      <c r="E24" s="284"/>
      <c r="F24" s="284"/>
      <c r="G24" s="284"/>
      <c r="H24" s="284"/>
      <c r="I24" s="284"/>
      <c r="J24" s="366">
        <v>3.4</v>
      </c>
      <c r="K24" s="370">
        <f t="shared" ref="K24:K87" si="6">(L24/$L$135)*100</f>
        <v>7.0921985815602842</v>
      </c>
      <c r="L24" s="370">
        <v>100</v>
      </c>
      <c r="M24" s="370">
        <v>80</v>
      </c>
      <c r="N24" s="366">
        <f t="shared" si="2"/>
        <v>3.4</v>
      </c>
      <c r="O24" s="370">
        <f t="shared" si="3"/>
        <v>11.347517730496456</v>
      </c>
      <c r="P24" s="370">
        <f t="shared" si="4"/>
        <v>80</v>
      </c>
      <c r="Q24" s="366">
        <f t="shared" ref="Q24:Q87" si="7">J24</f>
        <v>3.4</v>
      </c>
      <c r="R24" s="370">
        <f t="shared" si="0"/>
        <v>11.347517730496456</v>
      </c>
      <c r="S24" s="366">
        <f t="shared" si="1"/>
        <v>100</v>
      </c>
      <c r="T24" s="366">
        <v>79.58</v>
      </c>
      <c r="U24" s="370">
        <f t="shared" si="5"/>
        <v>99.475000000000009</v>
      </c>
      <c r="V24" s="366"/>
      <c r="W24" s="366"/>
      <c r="X24" s="366"/>
      <c r="Y24" s="366"/>
      <c r="Z24" s="366"/>
      <c r="AA24" s="366"/>
      <c r="AB24" s="366"/>
      <c r="AC24" s="366"/>
      <c r="AD24" s="366"/>
      <c r="AE24" s="366"/>
      <c r="AF24" s="366"/>
      <c r="AG24" s="366"/>
      <c r="AH24" s="366"/>
      <c r="AI24" s="366"/>
      <c r="AJ24" s="366"/>
      <c r="AK24" s="366"/>
      <c r="AL24" s="360"/>
      <c r="AM24" s="263" t="s">
        <v>822</v>
      </c>
      <c r="AN24" s="263"/>
      <c r="AO24" s="263"/>
      <c r="AP24" s="263"/>
      <c r="AQ24" s="263"/>
      <c r="AR24" s="263"/>
      <c r="AS24" s="263"/>
      <c r="AT24" s="263"/>
      <c r="AU24" s="263"/>
      <c r="AV24" s="263"/>
    </row>
    <row r="25" spans="1:48" s="350" customFormat="1" ht="39" hidden="1">
      <c r="A25" s="304" t="s">
        <v>234</v>
      </c>
      <c r="B25" s="304" t="s">
        <v>605</v>
      </c>
      <c r="C25" s="284" t="s">
        <v>794</v>
      </c>
      <c r="D25" s="284"/>
      <c r="E25" s="284"/>
      <c r="F25" s="284"/>
      <c r="G25" s="284"/>
      <c r="H25" s="284"/>
      <c r="I25" s="284"/>
      <c r="J25" s="366">
        <v>2.96</v>
      </c>
      <c r="K25" s="370">
        <f t="shared" si="6"/>
        <v>4.255319148936171</v>
      </c>
      <c r="L25" s="370">
        <v>60</v>
      </c>
      <c r="M25" s="370">
        <v>40</v>
      </c>
      <c r="N25" s="366">
        <f t="shared" si="2"/>
        <v>2.96</v>
      </c>
      <c r="O25" s="370">
        <f t="shared" si="3"/>
        <v>5.673758865248228</v>
      </c>
      <c r="P25" s="370">
        <f t="shared" si="4"/>
        <v>40</v>
      </c>
      <c r="Q25" s="366">
        <f t="shared" si="7"/>
        <v>2.96</v>
      </c>
      <c r="R25" s="370">
        <f t="shared" si="0"/>
        <v>5.673758865248228</v>
      </c>
      <c r="S25" s="366">
        <f t="shared" si="1"/>
        <v>100</v>
      </c>
      <c r="T25" s="366">
        <v>39.479999999999997</v>
      </c>
      <c r="U25" s="370">
        <f t="shared" si="5"/>
        <v>98.699999999999989</v>
      </c>
      <c r="V25" s="366"/>
      <c r="W25" s="366"/>
      <c r="X25" s="366"/>
      <c r="Y25" s="366"/>
      <c r="Z25" s="366"/>
      <c r="AA25" s="366"/>
      <c r="AB25" s="366"/>
      <c r="AC25" s="366"/>
      <c r="AD25" s="366"/>
      <c r="AE25" s="366"/>
      <c r="AF25" s="366"/>
      <c r="AG25" s="366"/>
      <c r="AH25" s="366"/>
      <c r="AI25" s="366"/>
      <c r="AJ25" s="366"/>
      <c r="AK25" s="366"/>
      <c r="AL25" s="360"/>
      <c r="AM25" s="263" t="s">
        <v>822</v>
      </c>
      <c r="AN25" s="263"/>
      <c r="AO25" s="263"/>
      <c r="AP25" s="263"/>
      <c r="AQ25" s="263"/>
      <c r="AR25" s="263"/>
      <c r="AS25" s="263"/>
      <c r="AT25" s="263"/>
      <c r="AU25" s="263"/>
      <c r="AV25" s="263"/>
    </row>
    <row r="26" spans="1:48" s="350" customFormat="1" ht="58.5" hidden="1">
      <c r="A26" s="304" t="s">
        <v>240</v>
      </c>
      <c r="B26" s="304" t="s">
        <v>606</v>
      </c>
      <c r="C26" s="284" t="s">
        <v>794</v>
      </c>
      <c r="D26" s="284"/>
      <c r="E26" s="284"/>
      <c r="F26" s="284"/>
      <c r="G26" s="284"/>
      <c r="H26" s="284"/>
      <c r="I26" s="284"/>
      <c r="J26" s="366">
        <v>1</v>
      </c>
      <c r="K26" s="370">
        <f t="shared" si="6"/>
        <v>0.35460992907801425</v>
      </c>
      <c r="L26" s="370">
        <v>5</v>
      </c>
      <c r="M26" s="370">
        <v>5</v>
      </c>
      <c r="N26" s="366">
        <f t="shared" si="2"/>
        <v>1</v>
      </c>
      <c r="O26" s="370">
        <f t="shared" si="3"/>
        <v>0.7092198581560285</v>
      </c>
      <c r="P26" s="370">
        <f t="shared" si="4"/>
        <v>5</v>
      </c>
      <c r="Q26" s="366">
        <f t="shared" si="7"/>
        <v>1</v>
      </c>
      <c r="R26" s="370">
        <f t="shared" si="0"/>
        <v>0.7092198581560285</v>
      </c>
      <c r="S26" s="366">
        <f t="shared" si="1"/>
        <v>100</v>
      </c>
      <c r="T26" s="366">
        <v>4.99</v>
      </c>
      <c r="U26" s="370">
        <f>IFERROR(T26/L26*100,0)</f>
        <v>99.8</v>
      </c>
      <c r="V26" s="366"/>
      <c r="W26" s="366"/>
      <c r="X26" s="366"/>
      <c r="Y26" s="366"/>
      <c r="Z26" s="366"/>
      <c r="AA26" s="366"/>
      <c r="AB26" s="366"/>
      <c r="AC26" s="366"/>
      <c r="AD26" s="366"/>
      <c r="AE26" s="366"/>
      <c r="AF26" s="366"/>
      <c r="AG26" s="366"/>
      <c r="AH26" s="366"/>
      <c r="AI26" s="366"/>
      <c r="AJ26" s="366"/>
      <c r="AK26" s="366"/>
      <c r="AL26" s="360"/>
      <c r="AM26" s="263" t="s">
        <v>822</v>
      </c>
      <c r="AN26" s="263"/>
      <c r="AO26" s="263"/>
      <c r="AP26" s="263"/>
      <c r="AQ26" s="263"/>
      <c r="AR26" s="263"/>
      <c r="AS26" s="263"/>
      <c r="AT26" s="263"/>
      <c r="AU26" s="263"/>
      <c r="AV26" s="263"/>
    </row>
    <row r="27" spans="1:48" s="350" customFormat="1" ht="58.5" hidden="1">
      <c r="A27" s="304" t="s">
        <v>242</v>
      </c>
      <c r="B27" s="304" t="s">
        <v>607</v>
      </c>
      <c r="C27" s="284" t="s">
        <v>794</v>
      </c>
      <c r="D27" s="284"/>
      <c r="E27" s="284"/>
      <c r="F27" s="284"/>
      <c r="G27" s="284"/>
      <c r="H27" s="284"/>
      <c r="I27" s="284"/>
      <c r="J27" s="366">
        <v>1</v>
      </c>
      <c r="K27" s="370">
        <f t="shared" si="6"/>
        <v>0.7092198581560285</v>
      </c>
      <c r="L27" s="370">
        <v>10</v>
      </c>
      <c r="M27" s="370">
        <v>5</v>
      </c>
      <c r="N27" s="366">
        <f t="shared" si="2"/>
        <v>1</v>
      </c>
      <c r="O27" s="370">
        <f t="shared" si="3"/>
        <v>0.7092198581560285</v>
      </c>
      <c r="P27" s="370">
        <f t="shared" si="4"/>
        <v>5</v>
      </c>
      <c r="Q27" s="366">
        <f t="shared" si="7"/>
        <v>1</v>
      </c>
      <c r="R27" s="370">
        <f t="shared" si="0"/>
        <v>0.7092198581560285</v>
      </c>
      <c r="S27" s="366">
        <f t="shared" si="1"/>
        <v>100</v>
      </c>
      <c r="T27" s="366">
        <v>4.99</v>
      </c>
      <c r="U27" s="370">
        <f t="shared" si="5"/>
        <v>99.8</v>
      </c>
      <c r="V27" s="366"/>
      <c r="W27" s="366"/>
      <c r="X27" s="366"/>
      <c r="Y27" s="366"/>
      <c r="Z27" s="366"/>
      <c r="AA27" s="366"/>
      <c r="AB27" s="366"/>
      <c r="AC27" s="366"/>
      <c r="AD27" s="366"/>
      <c r="AE27" s="366"/>
      <c r="AF27" s="366"/>
      <c r="AG27" s="366"/>
      <c r="AH27" s="366"/>
      <c r="AI27" s="366"/>
      <c r="AJ27" s="366"/>
      <c r="AK27" s="366"/>
      <c r="AL27" s="360"/>
      <c r="AM27" s="263" t="s">
        <v>822</v>
      </c>
      <c r="AN27" s="263"/>
      <c r="AO27" s="263"/>
      <c r="AP27" s="263"/>
      <c r="AQ27" s="263"/>
      <c r="AR27" s="263"/>
      <c r="AS27" s="263"/>
      <c r="AT27" s="263"/>
      <c r="AU27" s="263"/>
      <c r="AV27" s="263"/>
    </row>
    <row r="28" spans="1:48" s="350" customFormat="1" ht="58.5" hidden="1">
      <c r="A28" s="304" t="s">
        <v>244</v>
      </c>
      <c r="B28" s="304" t="s">
        <v>608</v>
      </c>
      <c r="C28" s="284" t="s">
        <v>794</v>
      </c>
      <c r="D28" s="284"/>
      <c r="E28" s="284"/>
      <c r="F28" s="284"/>
      <c r="G28" s="284"/>
      <c r="H28" s="284"/>
      <c r="I28" s="284"/>
      <c r="J28" s="366">
        <v>1</v>
      </c>
      <c r="K28" s="370">
        <f t="shared" si="6"/>
        <v>0.7092198581560285</v>
      </c>
      <c r="L28" s="370">
        <v>10</v>
      </c>
      <c r="M28" s="370">
        <v>5</v>
      </c>
      <c r="N28" s="366">
        <f t="shared" si="2"/>
        <v>1</v>
      </c>
      <c r="O28" s="370">
        <f t="shared" si="3"/>
        <v>0.7092198581560285</v>
      </c>
      <c r="P28" s="370">
        <f t="shared" si="4"/>
        <v>5</v>
      </c>
      <c r="Q28" s="366">
        <f t="shared" si="7"/>
        <v>1</v>
      </c>
      <c r="R28" s="370">
        <f t="shared" si="0"/>
        <v>0.7092198581560285</v>
      </c>
      <c r="S28" s="366">
        <f t="shared" si="1"/>
        <v>100</v>
      </c>
      <c r="T28" s="366">
        <v>4.99</v>
      </c>
      <c r="U28" s="370">
        <f t="shared" si="5"/>
        <v>99.8</v>
      </c>
      <c r="V28" s="366"/>
      <c r="W28" s="366"/>
      <c r="X28" s="366"/>
      <c r="Y28" s="366"/>
      <c r="Z28" s="366"/>
      <c r="AA28" s="366"/>
      <c r="AB28" s="366"/>
      <c r="AC28" s="366"/>
      <c r="AD28" s="366"/>
      <c r="AE28" s="366"/>
      <c r="AF28" s="366"/>
      <c r="AG28" s="366"/>
      <c r="AH28" s="366"/>
      <c r="AI28" s="366"/>
      <c r="AJ28" s="366"/>
      <c r="AK28" s="366"/>
      <c r="AL28" s="360"/>
      <c r="AM28" s="263" t="s">
        <v>822</v>
      </c>
      <c r="AN28" s="263"/>
      <c r="AO28" s="263"/>
      <c r="AP28" s="263"/>
      <c r="AQ28" s="263"/>
      <c r="AR28" s="263"/>
      <c r="AS28" s="263"/>
      <c r="AT28" s="263"/>
      <c r="AU28" s="263"/>
      <c r="AV28" s="263"/>
    </row>
    <row r="29" spans="1:48" s="350" customFormat="1" ht="58.5" hidden="1">
      <c r="A29" s="304" t="s">
        <v>246</v>
      </c>
      <c r="B29" s="304" t="s">
        <v>609</v>
      </c>
      <c r="C29" s="284" t="s">
        <v>794</v>
      </c>
      <c r="D29" s="284"/>
      <c r="E29" s="284"/>
      <c r="F29" s="284"/>
      <c r="G29" s="284"/>
      <c r="H29" s="284"/>
      <c r="I29" s="284"/>
      <c r="J29" s="366">
        <v>1</v>
      </c>
      <c r="K29" s="370">
        <f t="shared" si="6"/>
        <v>0.7092198581560285</v>
      </c>
      <c r="L29" s="370">
        <v>10</v>
      </c>
      <c r="M29" s="370">
        <v>5</v>
      </c>
      <c r="N29" s="366">
        <f t="shared" si="2"/>
        <v>1</v>
      </c>
      <c r="O29" s="370">
        <f t="shared" si="3"/>
        <v>0.7092198581560285</v>
      </c>
      <c r="P29" s="370">
        <f t="shared" si="4"/>
        <v>5</v>
      </c>
      <c r="Q29" s="366">
        <f t="shared" si="7"/>
        <v>1</v>
      </c>
      <c r="R29" s="370">
        <f t="shared" si="0"/>
        <v>0.7092198581560285</v>
      </c>
      <c r="S29" s="366">
        <f t="shared" si="1"/>
        <v>100</v>
      </c>
      <c r="T29" s="366">
        <v>4.97</v>
      </c>
      <c r="U29" s="370">
        <f t="shared" si="5"/>
        <v>99.4</v>
      </c>
      <c r="V29" s="366"/>
      <c r="W29" s="366"/>
      <c r="X29" s="366"/>
      <c r="Y29" s="366"/>
      <c r="Z29" s="366"/>
      <c r="AA29" s="366"/>
      <c r="AB29" s="366"/>
      <c r="AC29" s="366"/>
      <c r="AD29" s="366"/>
      <c r="AE29" s="366"/>
      <c r="AF29" s="366"/>
      <c r="AG29" s="366"/>
      <c r="AH29" s="366"/>
      <c r="AI29" s="366"/>
      <c r="AJ29" s="366"/>
      <c r="AK29" s="366"/>
      <c r="AL29" s="360"/>
      <c r="AM29" s="263" t="s">
        <v>822</v>
      </c>
      <c r="AN29" s="263"/>
      <c r="AO29" s="263"/>
      <c r="AP29" s="263"/>
      <c r="AQ29" s="263"/>
      <c r="AR29" s="263"/>
      <c r="AS29" s="263"/>
      <c r="AT29" s="263"/>
      <c r="AU29" s="263"/>
      <c r="AV29" s="263"/>
    </row>
    <row r="30" spans="1:48" s="350" customFormat="1" ht="39" hidden="1">
      <c r="A30" s="304" t="s">
        <v>248</v>
      </c>
      <c r="B30" s="304" t="s">
        <v>610</v>
      </c>
      <c r="C30" s="284" t="s">
        <v>794</v>
      </c>
      <c r="D30" s="284"/>
      <c r="E30" s="284"/>
      <c r="F30" s="284"/>
      <c r="G30" s="284"/>
      <c r="H30" s="284"/>
      <c r="I30" s="284"/>
      <c r="J30" s="366">
        <v>1</v>
      </c>
      <c r="K30" s="370">
        <f t="shared" si="6"/>
        <v>1.418439716312057</v>
      </c>
      <c r="L30" s="370">
        <v>20</v>
      </c>
      <c r="M30" s="370">
        <v>20</v>
      </c>
      <c r="N30" s="366">
        <f t="shared" si="2"/>
        <v>1</v>
      </c>
      <c r="O30" s="370">
        <f t="shared" si="3"/>
        <v>2.836879432624114</v>
      </c>
      <c r="P30" s="370">
        <f t="shared" si="4"/>
        <v>20</v>
      </c>
      <c r="Q30" s="366">
        <f t="shared" si="7"/>
        <v>1</v>
      </c>
      <c r="R30" s="370">
        <f t="shared" si="0"/>
        <v>2.836879432624114</v>
      </c>
      <c r="S30" s="366">
        <f t="shared" si="1"/>
        <v>100</v>
      </c>
      <c r="T30" s="366">
        <v>19.97</v>
      </c>
      <c r="U30" s="370">
        <f>IFERROR(T30/L30*100,0)</f>
        <v>99.85</v>
      </c>
      <c r="V30" s="366"/>
      <c r="W30" s="366"/>
      <c r="X30" s="366"/>
      <c r="Y30" s="366"/>
      <c r="Z30" s="366"/>
      <c r="AA30" s="366"/>
      <c r="AB30" s="366"/>
      <c r="AC30" s="366"/>
      <c r="AD30" s="366"/>
      <c r="AE30" s="366"/>
      <c r="AF30" s="366"/>
      <c r="AG30" s="366"/>
      <c r="AH30" s="366"/>
      <c r="AI30" s="366"/>
      <c r="AJ30" s="366"/>
      <c r="AK30" s="366"/>
      <c r="AL30" s="360"/>
      <c r="AM30" s="263" t="s">
        <v>822</v>
      </c>
      <c r="AN30" s="263"/>
      <c r="AO30" s="263"/>
      <c r="AP30" s="263"/>
      <c r="AQ30" s="263"/>
      <c r="AR30" s="263"/>
      <c r="AS30" s="263"/>
      <c r="AT30" s="263"/>
      <c r="AU30" s="263"/>
      <c r="AV30" s="263"/>
    </row>
    <row r="31" spans="1:48" s="306" customFormat="1" ht="39" hidden="1">
      <c r="A31" s="304" t="s">
        <v>250</v>
      </c>
      <c r="B31" s="304" t="s">
        <v>611</v>
      </c>
      <c r="C31" s="284" t="s">
        <v>794</v>
      </c>
      <c r="D31" s="284"/>
      <c r="E31" s="284"/>
      <c r="F31" s="284"/>
      <c r="G31" s="284"/>
      <c r="H31" s="284"/>
      <c r="I31" s="284"/>
      <c r="J31" s="366">
        <v>0</v>
      </c>
      <c r="K31" s="370">
        <f t="shared" si="6"/>
        <v>0</v>
      </c>
      <c r="L31" s="371">
        <v>0</v>
      </c>
      <c r="M31" s="371">
        <v>0</v>
      </c>
      <c r="N31" s="366">
        <f t="shared" si="2"/>
        <v>0</v>
      </c>
      <c r="O31" s="370">
        <f t="shared" si="3"/>
        <v>0</v>
      </c>
      <c r="P31" s="370">
        <f t="shared" si="4"/>
        <v>0</v>
      </c>
      <c r="Q31" s="366">
        <f t="shared" si="7"/>
        <v>0</v>
      </c>
      <c r="R31" s="370">
        <v>0</v>
      </c>
      <c r="S31" s="366">
        <v>0</v>
      </c>
      <c r="T31" s="366">
        <v>0</v>
      </c>
      <c r="U31" s="370">
        <f t="shared" si="5"/>
        <v>0</v>
      </c>
      <c r="V31" s="370">
        <v>5</v>
      </c>
      <c r="W31" s="372">
        <v>0.12</v>
      </c>
      <c r="X31" s="370">
        <v>1.5</v>
      </c>
      <c r="Y31" s="370">
        <v>5</v>
      </c>
      <c r="Z31" s="370"/>
      <c r="AA31" s="370">
        <f>W31/V31*Y31</f>
        <v>0.12</v>
      </c>
      <c r="AB31" s="370"/>
      <c r="AC31" s="370"/>
      <c r="AD31" s="370"/>
      <c r="AE31" s="370"/>
      <c r="AF31" s="370"/>
      <c r="AG31" s="370"/>
      <c r="AH31" s="370">
        <v>15</v>
      </c>
      <c r="AI31" s="370">
        <v>0.37</v>
      </c>
      <c r="AJ31" s="366"/>
      <c r="AK31" s="366"/>
      <c r="AL31" s="360"/>
      <c r="AM31" s="263" t="s">
        <v>822</v>
      </c>
      <c r="AN31" s="305"/>
      <c r="AO31" s="305"/>
      <c r="AP31" s="305"/>
      <c r="AQ31" s="305"/>
      <c r="AR31" s="305"/>
      <c r="AS31" s="305"/>
      <c r="AT31" s="305"/>
      <c r="AU31" s="305"/>
      <c r="AV31" s="305"/>
    </row>
    <row r="32" spans="1:48" s="306" customFormat="1" ht="40.5" hidden="1">
      <c r="A32" s="308" t="s">
        <v>216</v>
      </c>
      <c r="B32" s="363" t="s">
        <v>612</v>
      </c>
      <c r="C32" s="284" t="s">
        <v>794</v>
      </c>
      <c r="D32" s="284"/>
      <c r="E32" s="284"/>
      <c r="F32" s="284"/>
      <c r="G32" s="284"/>
      <c r="H32" s="284"/>
      <c r="I32" s="284"/>
      <c r="J32" s="366">
        <v>2</v>
      </c>
      <c r="K32" s="370">
        <f t="shared" si="6"/>
        <v>0.14184397163120571</v>
      </c>
      <c r="L32" s="371">
        <v>2</v>
      </c>
      <c r="M32" s="371">
        <v>1.7</v>
      </c>
      <c r="N32" s="366">
        <f t="shared" si="2"/>
        <v>2</v>
      </c>
      <c r="O32" s="370">
        <f t="shared" si="3"/>
        <v>0.24113475177304969</v>
      </c>
      <c r="P32" s="370">
        <f t="shared" si="4"/>
        <v>1.7</v>
      </c>
      <c r="Q32" s="366">
        <f t="shared" si="7"/>
        <v>2</v>
      </c>
      <c r="R32" s="370">
        <f t="shared" si="0"/>
        <v>0.24113475177304969</v>
      </c>
      <c r="S32" s="366">
        <f t="shared" ref="S32:S95" si="8">ROUND(IF(O32=0,R32/K32*100,R32/O32*100),2)</f>
        <v>100</v>
      </c>
      <c r="T32" s="366">
        <v>1.21</v>
      </c>
      <c r="U32" s="370">
        <f t="shared" si="5"/>
        <v>71.17647058823529</v>
      </c>
      <c r="V32" s="366">
        <v>0</v>
      </c>
      <c r="W32" s="372">
        <v>0</v>
      </c>
      <c r="X32" s="366">
        <v>0</v>
      </c>
      <c r="Y32" s="366">
        <v>6</v>
      </c>
      <c r="Z32" s="366"/>
      <c r="AA32" s="370">
        <f>K32/J32*Y32</f>
        <v>0.42553191489361714</v>
      </c>
      <c r="AB32" s="370"/>
      <c r="AC32" s="370"/>
      <c r="AD32" s="370"/>
      <c r="AE32" s="370"/>
      <c r="AF32" s="370"/>
      <c r="AG32" s="370"/>
      <c r="AH32" s="370">
        <f t="shared" ref="AH32:AH33" si="9">Y32+Q32</f>
        <v>8</v>
      </c>
      <c r="AI32" s="370">
        <v>1.48</v>
      </c>
      <c r="AJ32" s="366"/>
      <c r="AK32" s="366"/>
      <c r="AL32" s="360"/>
      <c r="AM32" s="305" t="s">
        <v>823</v>
      </c>
      <c r="AN32" s="305"/>
      <c r="AO32" s="305"/>
      <c r="AP32" s="305"/>
      <c r="AQ32" s="305"/>
      <c r="AR32" s="305"/>
      <c r="AS32" s="305"/>
      <c r="AT32" s="305"/>
      <c r="AU32" s="305"/>
      <c r="AV32" s="305"/>
    </row>
    <row r="33" spans="1:48" s="306" customFormat="1" ht="40.5" hidden="1">
      <c r="A33" s="308" t="s">
        <v>399</v>
      </c>
      <c r="B33" s="363" t="s">
        <v>613</v>
      </c>
      <c r="C33" s="284" t="s">
        <v>794</v>
      </c>
      <c r="D33" s="284"/>
      <c r="E33" s="284"/>
      <c r="F33" s="284"/>
      <c r="G33" s="284"/>
      <c r="H33" s="284"/>
      <c r="I33" s="284"/>
      <c r="J33" s="366">
        <v>1</v>
      </c>
      <c r="K33" s="370">
        <f t="shared" si="6"/>
        <v>0.35460992907801425</v>
      </c>
      <c r="L33" s="371">
        <v>5</v>
      </c>
      <c r="M33" s="371">
        <v>0</v>
      </c>
      <c r="N33" s="366">
        <f t="shared" si="2"/>
        <v>1</v>
      </c>
      <c r="O33" s="370">
        <f t="shared" si="3"/>
        <v>0</v>
      </c>
      <c r="P33" s="370">
        <f t="shared" si="4"/>
        <v>0</v>
      </c>
      <c r="Q33" s="366">
        <f t="shared" si="7"/>
        <v>1</v>
      </c>
      <c r="R33" s="370">
        <f t="shared" si="0"/>
        <v>0</v>
      </c>
      <c r="S33" s="366">
        <f t="shared" si="8"/>
        <v>0</v>
      </c>
      <c r="T33" s="366">
        <v>0</v>
      </c>
      <c r="U33" s="370">
        <f t="shared" si="5"/>
        <v>0</v>
      </c>
      <c r="V33" s="366">
        <v>1</v>
      </c>
      <c r="W33" s="372">
        <v>0.02</v>
      </c>
      <c r="X33" s="366">
        <v>0.2</v>
      </c>
      <c r="Y33" s="366">
        <v>0</v>
      </c>
      <c r="Z33" s="366"/>
      <c r="AA33" s="370">
        <f t="shared" ref="AA33:AA46" si="10">W33/V33*Y33</f>
        <v>0</v>
      </c>
      <c r="AB33" s="370"/>
      <c r="AC33" s="370"/>
      <c r="AD33" s="370"/>
      <c r="AE33" s="370"/>
      <c r="AF33" s="370"/>
      <c r="AG33" s="370"/>
      <c r="AH33" s="370">
        <f t="shared" si="9"/>
        <v>1</v>
      </c>
      <c r="AI33" s="370">
        <f>K33/J33*AH33</f>
        <v>0.35460992907801425</v>
      </c>
      <c r="AJ33" s="366"/>
      <c r="AK33" s="366"/>
      <c r="AL33" s="360"/>
      <c r="AM33" s="305"/>
      <c r="AN33" s="305"/>
      <c r="AO33" s="305"/>
      <c r="AP33" s="305"/>
      <c r="AQ33" s="305"/>
      <c r="AR33" s="305"/>
      <c r="AS33" s="305"/>
      <c r="AT33" s="305"/>
      <c r="AU33" s="305"/>
      <c r="AV33" s="305"/>
    </row>
    <row r="34" spans="1:48" s="306" customFormat="1" ht="40.5" hidden="1">
      <c r="A34" s="308" t="s">
        <v>401</v>
      </c>
      <c r="B34" s="363" t="s">
        <v>614</v>
      </c>
      <c r="C34" s="284" t="s">
        <v>796</v>
      </c>
      <c r="D34" s="284"/>
      <c r="E34" s="284"/>
      <c r="F34" s="284"/>
      <c r="G34" s="284"/>
      <c r="H34" s="284"/>
      <c r="I34" s="284"/>
      <c r="J34" s="366">
        <v>1</v>
      </c>
      <c r="K34" s="370">
        <f t="shared" si="6"/>
        <v>0.35460992907801425</v>
      </c>
      <c r="L34" s="371">
        <v>5</v>
      </c>
      <c r="M34" s="371"/>
      <c r="N34" s="366">
        <f t="shared" si="2"/>
        <v>1</v>
      </c>
      <c r="O34" s="370">
        <f t="shared" si="3"/>
        <v>0</v>
      </c>
      <c r="P34" s="370">
        <f t="shared" si="4"/>
        <v>0</v>
      </c>
      <c r="Q34" s="366">
        <f t="shared" si="7"/>
        <v>1</v>
      </c>
      <c r="R34" s="370">
        <f t="shared" si="0"/>
        <v>0</v>
      </c>
      <c r="S34" s="366">
        <f t="shared" si="8"/>
        <v>0</v>
      </c>
      <c r="T34" s="366">
        <v>0</v>
      </c>
      <c r="U34" s="370">
        <f t="shared" si="5"/>
        <v>0</v>
      </c>
      <c r="V34" s="366"/>
      <c r="W34" s="372"/>
      <c r="X34" s="366"/>
      <c r="Y34" s="366"/>
      <c r="Z34" s="366"/>
      <c r="AA34" s="366"/>
      <c r="AB34" s="366"/>
      <c r="AC34" s="366"/>
      <c r="AD34" s="366"/>
      <c r="AE34" s="366"/>
      <c r="AF34" s="366"/>
      <c r="AG34" s="366"/>
      <c r="AH34" s="366"/>
      <c r="AI34" s="366"/>
      <c r="AJ34" s="366"/>
      <c r="AK34" s="366"/>
      <c r="AL34" s="360"/>
      <c r="AM34" s="305" t="s">
        <v>823</v>
      </c>
      <c r="AN34" s="305"/>
      <c r="AO34" s="305"/>
      <c r="AP34" s="305"/>
      <c r="AQ34" s="305"/>
      <c r="AR34" s="305"/>
      <c r="AS34" s="305"/>
      <c r="AT34" s="305"/>
      <c r="AU34" s="305"/>
      <c r="AV34" s="305"/>
    </row>
    <row r="35" spans="1:48" s="306" customFormat="1" ht="39" hidden="1">
      <c r="A35" s="308" t="s">
        <v>404</v>
      </c>
      <c r="B35" s="297" t="s">
        <v>615</v>
      </c>
      <c r="C35" s="352" t="s">
        <v>794</v>
      </c>
      <c r="D35" s="284"/>
      <c r="E35" s="284"/>
      <c r="F35" s="284"/>
      <c r="G35" s="284"/>
      <c r="H35" s="284"/>
      <c r="I35" s="284"/>
      <c r="J35" s="366">
        <v>1</v>
      </c>
      <c r="K35" s="370">
        <f t="shared" si="6"/>
        <v>3.5460992907801421</v>
      </c>
      <c r="L35" s="371">
        <v>50</v>
      </c>
      <c r="M35" s="371"/>
      <c r="N35" s="366">
        <f t="shared" si="2"/>
        <v>1</v>
      </c>
      <c r="O35" s="370">
        <f t="shared" si="3"/>
        <v>0</v>
      </c>
      <c r="P35" s="370">
        <f t="shared" si="4"/>
        <v>0</v>
      </c>
      <c r="Q35" s="366">
        <f t="shared" si="7"/>
        <v>1</v>
      </c>
      <c r="R35" s="370">
        <f t="shared" si="0"/>
        <v>0</v>
      </c>
      <c r="S35" s="366">
        <f t="shared" si="8"/>
        <v>0</v>
      </c>
      <c r="T35" s="366">
        <v>0</v>
      </c>
      <c r="U35" s="370">
        <f t="shared" si="5"/>
        <v>0</v>
      </c>
      <c r="V35" s="366">
        <v>1</v>
      </c>
      <c r="W35" s="366">
        <v>8.23</v>
      </c>
      <c r="X35" s="366">
        <v>100</v>
      </c>
      <c r="Y35" s="366">
        <v>0</v>
      </c>
      <c r="Z35" s="366"/>
      <c r="AA35" s="366">
        <v>0</v>
      </c>
      <c r="AB35" s="366"/>
      <c r="AC35" s="366"/>
      <c r="AD35" s="366"/>
      <c r="AE35" s="366"/>
      <c r="AF35" s="366"/>
      <c r="AG35" s="366"/>
      <c r="AH35" s="366">
        <v>0</v>
      </c>
      <c r="AI35" s="366">
        <v>0</v>
      </c>
      <c r="AJ35" s="366"/>
      <c r="AK35" s="366"/>
      <c r="AL35" s="360"/>
      <c r="AM35" s="305"/>
      <c r="AN35" s="305"/>
      <c r="AO35" s="305"/>
      <c r="AP35" s="305"/>
      <c r="AQ35" s="305"/>
      <c r="AR35" s="305"/>
      <c r="AS35" s="305"/>
      <c r="AT35" s="305"/>
      <c r="AU35" s="305"/>
      <c r="AV35" s="305"/>
    </row>
    <row r="36" spans="1:48" s="306" customFormat="1" ht="39" hidden="1">
      <c r="A36" s="308" t="s">
        <v>406</v>
      </c>
      <c r="B36" s="304" t="s">
        <v>540</v>
      </c>
      <c r="C36" s="283" t="s">
        <v>797</v>
      </c>
      <c r="D36" s="284"/>
      <c r="E36" s="284"/>
      <c r="F36" s="284"/>
      <c r="G36" s="284"/>
      <c r="H36" s="284"/>
      <c r="I36" s="284"/>
      <c r="J36" s="366">
        <v>1</v>
      </c>
      <c r="K36" s="370">
        <f t="shared" si="6"/>
        <v>3.5460992907801421</v>
      </c>
      <c r="L36" s="371">
        <v>50</v>
      </c>
      <c r="M36" s="371">
        <v>50</v>
      </c>
      <c r="N36" s="366">
        <f t="shared" si="2"/>
        <v>1</v>
      </c>
      <c r="O36" s="370">
        <f t="shared" si="3"/>
        <v>7.0921985815602842</v>
      </c>
      <c r="P36" s="370">
        <f t="shared" si="4"/>
        <v>50</v>
      </c>
      <c r="Q36" s="366">
        <f t="shared" si="7"/>
        <v>1</v>
      </c>
      <c r="R36" s="370">
        <f t="shared" si="0"/>
        <v>7.0921985815602842</v>
      </c>
      <c r="S36" s="366">
        <f t="shared" si="8"/>
        <v>100</v>
      </c>
      <c r="T36" s="366">
        <v>49.28</v>
      </c>
      <c r="U36" s="370">
        <f t="shared" si="5"/>
        <v>98.56</v>
      </c>
      <c r="V36" s="366">
        <v>0</v>
      </c>
      <c r="W36" s="366">
        <v>0</v>
      </c>
      <c r="X36" s="366">
        <v>0</v>
      </c>
      <c r="Y36" s="366">
        <v>0</v>
      </c>
      <c r="Z36" s="366"/>
      <c r="AA36" s="366">
        <v>0</v>
      </c>
      <c r="AB36" s="366"/>
      <c r="AC36" s="366"/>
      <c r="AD36" s="366"/>
      <c r="AE36" s="366"/>
      <c r="AF36" s="366"/>
      <c r="AG36" s="366"/>
      <c r="AH36" s="366">
        <v>0</v>
      </c>
      <c r="AI36" s="366">
        <v>0</v>
      </c>
      <c r="AJ36" s="366"/>
      <c r="AK36" s="366"/>
      <c r="AL36" s="360"/>
      <c r="AM36" s="305" t="s">
        <v>823</v>
      </c>
      <c r="AN36" s="305"/>
      <c r="AO36" s="305"/>
      <c r="AP36" s="305"/>
      <c r="AQ36" s="305"/>
      <c r="AR36" s="305"/>
      <c r="AS36" s="305"/>
      <c r="AT36" s="305"/>
      <c r="AU36" s="305"/>
      <c r="AV36" s="305"/>
    </row>
    <row r="37" spans="1:48" s="306" customFormat="1" ht="39" hidden="1">
      <c r="A37" s="308" t="s">
        <v>407</v>
      </c>
      <c r="B37" s="297" t="s">
        <v>616</v>
      </c>
      <c r="C37" s="352" t="s">
        <v>794</v>
      </c>
      <c r="D37" s="284"/>
      <c r="E37" s="284"/>
      <c r="F37" s="284"/>
      <c r="G37" s="284"/>
      <c r="H37" s="284"/>
      <c r="I37" s="284"/>
      <c r="J37" s="366">
        <v>1</v>
      </c>
      <c r="K37" s="370">
        <f t="shared" si="6"/>
        <v>0.35460992907801425</v>
      </c>
      <c r="L37" s="371">
        <v>5</v>
      </c>
      <c r="M37" s="371"/>
      <c r="N37" s="366">
        <f t="shared" si="2"/>
        <v>1</v>
      </c>
      <c r="O37" s="370">
        <f t="shared" si="3"/>
        <v>0</v>
      </c>
      <c r="P37" s="370">
        <f t="shared" si="4"/>
        <v>0</v>
      </c>
      <c r="Q37" s="366">
        <f t="shared" si="7"/>
        <v>1</v>
      </c>
      <c r="R37" s="370">
        <f t="shared" si="0"/>
        <v>0</v>
      </c>
      <c r="S37" s="366">
        <f t="shared" si="8"/>
        <v>0</v>
      </c>
      <c r="T37" s="366">
        <v>0</v>
      </c>
      <c r="U37" s="370">
        <f t="shared" si="5"/>
        <v>0</v>
      </c>
      <c r="V37" s="370">
        <v>0.2</v>
      </c>
      <c r="W37" s="372">
        <v>1.65</v>
      </c>
      <c r="X37" s="370">
        <v>20</v>
      </c>
      <c r="Y37" s="370">
        <f>V37</f>
        <v>0.2</v>
      </c>
      <c r="Z37" s="370"/>
      <c r="AA37" s="370">
        <v>1.65</v>
      </c>
      <c r="AB37" s="370"/>
      <c r="AC37" s="370"/>
      <c r="AD37" s="370"/>
      <c r="AE37" s="370"/>
      <c r="AF37" s="370"/>
      <c r="AG37" s="370"/>
      <c r="AH37" s="370">
        <v>1</v>
      </c>
      <c r="AI37" s="370">
        <f>K37/J37*AH37</f>
        <v>0.35460992907801425</v>
      </c>
      <c r="AJ37" s="366"/>
      <c r="AK37" s="366"/>
      <c r="AL37" s="360"/>
      <c r="AM37" s="305"/>
      <c r="AN37" s="305"/>
      <c r="AO37" s="305"/>
      <c r="AP37" s="305"/>
      <c r="AQ37" s="305"/>
      <c r="AR37" s="305"/>
      <c r="AS37" s="305"/>
      <c r="AT37" s="305"/>
      <c r="AU37" s="305"/>
      <c r="AV37" s="305"/>
    </row>
    <row r="38" spans="1:48" s="306" customFormat="1" ht="39" hidden="1">
      <c r="A38" s="308" t="s">
        <v>409</v>
      </c>
      <c r="B38" s="304" t="s">
        <v>540</v>
      </c>
      <c r="C38" s="341" t="s">
        <v>797</v>
      </c>
      <c r="D38" s="284"/>
      <c r="E38" s="284"/>
      <c r="F38" s="284"/>
      <c r="G38" s="284"/>
      <c r="H38" s="284"/>
      <c r="I38" s="284"/>
      <c r="J38" s="366">
        <v>1</v>
      </c>
      <c r="K38" s="370">
        <f t="shared" si="6"/>
        <v>0.35460992907801425</v>
      </c>
      <c r="L38" s="371">
        <v>5</v>
      </c>
      <c r="M38" s="371">
        <v>5</v>
      </c>
      <c r="N38" s="366">
        <f t="shared" si="2"/>
        <v>1</v>
      </c>
      <c r="O38" s="370">
        <f t="shared" si="3"/>
        <v>0.7092198581560285</v>
      </c>
      <c r="P38" s="370">
        <f t="shared" si="4"/>
        <v>5</v>
      </c>
      <c r="Q38" s="366">
        <f t="shared" si="7"/>
        <v>1</v>
      </c>
      <c r="R38" s="370">
        <f t="shared" si="0"/>
        <v>0.7092198581560285</v>
      </c>
      <c r="S38" s="366">
        <f t="shared" si="8"/>
        <v>100</v>
      </c>
      <c r="T38" s="366">
        <v>5</v>
      </c>
      <c r="U38" s="370">
        <f t="shared" si="5"/>
        <v>100</v>
      </c>
      <c r="V38" s="370"/>
      <c r="W38" s="372"/>
      <c r="X38" s="370"/>
      <c r="Y38" s="370"/>
      <c r="Z38" s="370"/>
      <c r="AA38" s="370"/>
      <c r="AB38" s="370"/>
      <c r="AC38" s="370"/>
      <c r="AD38" s="370"/>
      <c r="AE38" s="370"/>
      <c r="AF38" s="370"/>
      <c r="AG38" s="370"/>
      <c r="AH38" s="370"/>
      <c r="AI38" s="370"/>
      <c r="AJ38" s="366"/>
      <c r="AK38" s="366"/>
      <c r="AL38" s="360"/>
      <c r="AM38" s="305" t="s">
        <v>823</v>
      </c>
      <c r="AN38" s="305"/>
      <c r="AO38" s="305"/>
      <c r="AP38" s="305"/>
      <c r="AQ38" s="305"/>
      <c r="AR38" s="305"/>
      <c r="AS38" s="305"/>
      <c r="AT38" s="305"/>
      <c r="AU38" s="305"/>
      <c r="AV38" s="305"/>
    </row>
    <row r="39" spans="1:48" s="306" customFormat="1" ht="40.5" hidden="1">
      <c r="A39" s="308" t="s">
        <v>414</v>
      </c>
      <c r="B39" s="363" t="s">
        <v>617</v>
      </c>
      <c r="C39" s="352" t="s">
        <v>794</v>
      </c>
      <c r="D39" s="284"/>
      <c r="E39" s="284"/>
      <c r="F39" s="284"/>
      <c r="G39" s="284"/>
      <c r="H39" s="284"/>
      <c r="I39" s="284"/>
      <c r="J39" s="366">
        <v>1</v>
      </c>
      <c r="K39" s="370">
        <f t="shared" si="6"/>
        <v>0.42553191489361714</v>
      </c>
      <c r="L39" s="371">
        <v>6</v>
      </c>
      <c r="M39" s="371"/>
      <c r="N39" s="366">
        <f t="shared" si="2"/>
        <v>1</v>
      </c>
      <c r="O39" s="370">
        <f t="shared" si="3"/>
        <v>0</v>
      </c>
      <c r="P39" s="370">
        <f t="shared" si="4"/>
        <v>0</v>
      </c>
      <c r="Q39" s="366">
        <f t="shared" si="7"/>
        <v>1</v>
      </c>
      <c r="R39" s="370">
        <f t="shared" si="0"/>
        <v>0</v>
      </c>
      <c r="S39" s="366">
        <f t="shared" si="8"/>
        <v>0</v>
      </c>
      <c r="T39" s="366">
        <v>0</v>
      </c>
      <c r="U39" s="370">
        <f t="shared" si="5"/>
        <v>0</v>
      </c>
      <c r="V39" s="370"/>
      <c r="W39" s="372"/>
      <c r="X39" s="370"/>
      <c r="Y39" s="370"/>
      <c r="Z39" s="370"/>
      <c r="AA39" s="370"/>
      <c r="AB39" s="370"/>
      <c r="AC39" s="370"/>
      <c r="AD39" s="370"/>
      <c r="AE39" s="370"/>
      <c r="AF39" s="370"/>
      <c r="AG39" s="370"/>
      <c r="AH39" s="370"/>
      <c r="AI39" s="370"/>
      <c r="AJ39" s="366"/>
      <c r="AK39" s="366"/>
      <c r="AL39" s="360"/>
      <c r="AN39" s="305"/>
      <c r="AO39" s="305"/>
      <c r="AP39" s="305"/>
      <c r="AQ39" s="305"/>
      <c r="AR39" s="305"/>
      <c r="AS39" s="305"/>
      <c r="AT39" s="305"/>
      <c r="AU39" s="305"/>
      <c r="AV39" s="305"/>
    </row>
    <row r="40" spans="1:48" s="306" customFormat="1" ht="39" hidden="1">
      <c r="A40" s="308" t="s">
        <v>416</v>
      </c>
      <c r="B40" s="304" t="s">
        <v>540</v>
      </c>
      <c r="C40" s="341" t="s">
        <v>797</v>
      </c>
      <c r="D40" s="284"/>
      <c r="E40" s="284"/>
      <c r="F40" s="284"/>
      <c r="G40" s="284"/>
      <c r="H40" s="284"/>
      <c r="I40" s="284"/>
      <c r="J40" s="366">
        <v>1</v>
      </c>
      <c r="K40" s="370">
        <f t="shared" si="6"/>
        <v>0.42553191489361714</v>
      </c>
      <c r="L40" s="371">
        <v>6</v>
      </c>
      <c r="M40" s="371">
        <v>0</v>
      </c>
      <c r="N40" s="366">
        <f t="shared" si="2"/>
        <v>1</v>
      </c>
      <c r="O40" s="370">
        <f t="shared" si="3"/>
        <v>0</v>
      </c>
      <c r="P40" s="370">
        <f t="shared" si="4"/>
        <v>0</v>
      </c>
      <c r="Q40" s="366">
        <f t="shared" si="7"/>
        <v>1</v>
      </c>
      <c r="R40" s="370">
        <f t="shared" si="0"/>
        <v>0</v>
      </c>
      <c r="S40" s="366">
        <f t="shared" si="8"/>
        <v>0</v>
      </c>
      <c r="T40" s="366">
        <v>0</v>
      </c>
      <c r="U40" s="370">
        <f t="shared" si="5"/>
        <v>0</v>
      </c>
      <c r="V40" s="370"/>
      <c r="W40" s="372"/>
      <c r="X40" s="370"/>
      <c r="Y40" s="370"/>
      <c r="Z40" s="370"/>
      <c r="AA40" s="370"/>
      <c r="AB40" s="370"/>
      <c r="AC40" s="370"/>
      <c r="AD40" s="370"/>
      <c r="AE40" s="370"/>
      <c r="AF40" s="370"/>
      <c r="AG40" s="370"/>
      <c r="AH40" s="370"/>
      <c r="AI40" s="370"/>
      <c r="AJ40" s="366"/>
      <c r="AK40" s="366"/>
      <c r="AL40" s="360"/>
      <c r="AM40" s="305" t="s">
        <v>820</v>
      </c>
      <c r="AN40" s="305"/>
      <c r="AO40" s="305"/>
      <c r="AP40" s="305"/>
      <c r="AQ40" s="305"/>
      <c r="AR40" s="305"/>
      <c r="AS40" s="305"/>
      <c r="AT40" s="305"/>
      <c r="AU40" s="305"/>
      <c r="AV40" s="305"/>
    </row>
    <row r="41" spans="1:48" s="306" customFormat="1" ht="40.5" hidden="1">
      <c r="A41" s="308" t="s">
        <v>417</v>
      </c>
      <c r="B41" s="363" t="s">
        <v>618</v>
      </c>
      <c r="C41" s="352" t="s">
        <v>794</v>
      </c>
      <c r="D41" s="284"/>
      <c r="E41" s="284"/>
      <c r="F41" s="284"/>
      <c r="G41" s="284"/>
      <c r="H41" s="284"/>
      <c r="I41" s="284"/>
      <c r="J41" s="366">
        <v>1</v>
      </c>
      <c r="K41" s="370">
        <f t="shared" si="6"/>
        <v>0.85106382978723427</v>
      </c>
      <c r="L41" s="371">
        <v>12</v>
      </c>
      <c r="M41" s="371"/>
      <c r="N41" s="366">
        <f t="shared" si="2"/>
        <v>1</v>
      </c>
      <c r="O41" s="370">
        <f t="shared" si="3"/>
        <v>0</v>
      </c>
      <c r="P41" s="370">
        <f t="shared" si="4"/>
        <v>0</v>
      </c>
      <c r="Q41" s="366">
        <f t="shared" si="7"/>
        <v>1</v>
      </c>
      <c r="R41" s="370">
        <f t="shared" si="0"/>
        <v>0</v>
      </c>
      <c r="S41" s="366">
        <f t="shared" si="8"/>
        <v>0</v>
      </c>
      <c r="T41" s="366">
        <v>0</v>
      </c>
      <c r="U41" s="370">
        <f t="shared" si="5"/>
        <v>0</v>
      </c>
      <c r="V41" s="370"/>
      <c r="W41" s="372"/>
      <c r="X41" s="370"/>
      <c r="Y41" s="370"/>
      <c r="Z41" s="370"/>
      <c r="AA41" s="370"/>
      <c r="AB41" s="370"/>
      <c r="AC41" s="370"/>
      <c r="AD41" s="370"/>
      <c r="AE41" s="370"/>
      <c r="AF41" s="370"/>
      <c r="AG41" s="370"/>
      <c r="AH41" s="370"/>
      <c r="AI41" s="370"/>
      <c r="AJ41" s="366"/>
      <c r="AK41" s="366"/>
      <c r="AL41" s="360"/>
      <c r="AM41" s="305"/>
      <c r="AN41" s="305"/>
      <c r="AO41" s="305"/>
      <c r="AP41" s="305"/>
      <c r="AQ41" s="305"/>
      <c r="AR41" s="305"/>
      <c r="AS41" s="305"/>
      <c r="AT41" s="305"/>
      <c r="AU41" s="305"/>
      <c r="AV41" s="305"/>
    </row>
    <row r="42" spans="1:48" s="306" customFormat="1" ht="39" hidden="1">
      <c r="A42" s="308" t="s">
        <v>419</v>
      </c>
      <c r="B42" s="304" t="s">
        <v>540</v>
      </c>
      <c r="C42" s="341" t="s">
        <v>797</v>
      </c>
      <c r="D42" s="284"/>
      <c r="E42" s="284"/>
      <c r="F42" s="284"/>
      <c r="G42" s="284"/>
      <c r="H42" s="284"/>
      <c r="I42" s="284"/>
      <c r="J42" s="366">
        <v>1</v>
      </c>
      <c r="K42" s="370">
        <f t="shared" si="6"/>
        <v>0.85106382978723427</v>
      </c>
      <c r="L42" s="371">
        <v>12</v>
      </c>
      <c r="M42" s="371">
        <v>8.51</v>
      </c>
      <c r="N42" s="366">
        <f t="shared" si="2"/>
        <v>1</v>
      </c>
      <c r="O42" s="370">
        <f t="shared" si="3"/>
        <v>1.2070921985815604</v>
      </c>
      <c r="P42" s="370">
        <f t="shared" si="4"/>
        <v>8.51</v>
      </c>
      <c r="Q42" s="366">
        <f t="shared" si="7"/>
        <v>1</v>
      </c>
      <c r="R42" s="370">
        <f t="shared" si="0"/>
        <v>1.2070921985815604</v>
      </c>
      <c r="S42" s="366">
        <f t="shared" si="8"/>
        <v>100</v>
      </c>
      <c r="T42" s="366">
        <v>7.49</v>
      </c>
      <c r="U42" s="370">
        <f t="shared" si="5"/>
        <v>88.014101057579325</v>
      </c>
      <c r="V42" s="370"/>
      <c r="W42" s="372"/>
      <c r="X42" s="370"/>
      <c r="Y42" s="370"/>
      <c r="Z42" s="370"/>
      <c r="AA42" s="370"/>
      <c r="AB42" s="370"/>
      <c r="AC42" s="370"/>
      <c r="AD42" s="370"/>
      <c r="AE42" s="370"/>
      <c r="AF42" s="370"/>
      <c r="AG42" s="370"/>
      <c r="AH42" s="370"/>
      <c r="AI42" s="370"/>
      <c r="AJ42" s="366"/>
      <c r="AK42" s="366"/>
      <c r="AL42" s="360"/>
      <c r="AM42" s="305" t="s">
        <v>823</v>
      </c>
      <c r="AN42" s="305"/>
      <c r="AO42" s="305"/>
      <c r="AP42" s="305"/>
      <c r="AQ42" s="305"/>
      <c r="AR42" s="305"/>
      <c r="AS42" s="305"/>
      <c r="AT42" s="305"/>
      <c r="AU42" s="305"/>
      <c r="AV42" s="305"/>
    </row>
    <row r="43" spans="1:48" s="306" customFormat="1" ht="40.5" hidden="1">
      <c r="A43" s="308" t="s">
        <v>420</v>
      </c>
      <c r="B43" s="363" t="s">
        <v>619</v>
      </c>
      <c r="C43" s="283" t="s">
        <v>794</v>
      </c>
      <c r="D43" s="284"/>
      <c r="E43" s="284"/>
      <c r="F43" s="284"/>
      <c r="G43" s="284"/>
      <c r="H43" s="284"/>
      <c r="I43" s="284"/>
      <c r="J43" s="366">
        <v>1</v>
      </c>
      <c r="K43" s="370">
        <f t="shared" si="6"/>
        <v>0.42553191489361714</v>
      </c>
      <c r="L43" s="371">
        <v>6</v>
      </c>
      <c r="M43" s="371"/>
      <c r="N43" s="366">
        <f t="shared" si="2"/>
        <v>1</v>
      </c>
      <c r="O43" s="370">
        <f t="shared" si="3"/>
        <v>0</v>
      </c>
      <c r="P43" s="370">
        <f t="shared" si="4"/>
        <v>0</v>
      </c>
      <c r="Q43" s="366">
        <f t="shared" si="7"/>
        <v>1</v>
      </c>
      <c r="R43" s="370">
        <f t="shared" si="0"/>
        <v>0</v>
      </c>
      <c r="S43" s="366">
        <f t="shared" si="8"/>
        <v>0</v>
      </c>
      <c r="T43" s="366">
        <v>0</v>
      </c>
      <c r="U43" s="370">
        <f t="shared" si="5"/>
        <v>0</v>
      </c>
      <c r="V43" s="370"/>
      <c r="W43" s="372"/>
      <c r="X43" s="370"/>
      <c r="Y43" s="370"/>
      <c r="Z43" s="370"/>
      <c r="AA43" s="370"/>
      <c r="AB43" s="370"/>
      <c r="AC43" s="370"/>
      <c r="AD43" s="370"/>
      <c r="AE43" s="370"/>
      <c r="AF43" s="370"/>
      <c r="AG43" s="370"/>
      <c r="AH43" s="370"/>
      <c r="AI43" s="370"/>
      <c r="AJ43" s="366"/>
      <c r="AK43" s="366"/>
      <c r="AL43" s="360"/>
      <c r="AM43" s="305"/>
      <c r="AN43" s="305"/>
      <c r="AO43" s="305"/>
      <c r="AP43" s="305"/>
      <c r="AQ43" s="305"/>
      <c r="AR43" s="305"/>
      <c r="AS43" s="305"/>
      <c r="AT43" s="305"/>
      <c r="AU43" s="305"/>
      <c r="AV43" s="305"/>
    </row>
    <row r="44" spans="1:48" s="306" customFormat="1" ht="39" hidden="1">
      <c r="A44" s="308" t="s">
        <v>422</v>
      </c>
      <c r="B44" s="304" t="s">
        <v>540</v>
      </c>
      <c r="C44" s="283" t="s">
        <v>797</v>
      </c>
      <c r="D44" s="284"/>
      <c r="E44" s="284"/>
      <c r="F44" s="284"/>
      <c r="G44" s="284"/>
      <c r="H44" s="284"/>
      <c r="I44" s="284"/>
      <c r="J44" s="366">
        <v>1</v>
      </c>
      <c r="K44" s="370">
        <f t="shared" si="6"/>
        <v>0.42553191489361714</v>
      </c>
      <c r="L44" s="371">
        <v>6</v>
      </c>
      <c r="M44" s="371">
        <v>0</v>
      </c>
      <c r="N44" s="366">
        <f t="shared" si="2"/>
        <v>1</v>
      </c>
      <c r="O44" s="370">
        <f t="shared" si="3"/>
        <v>0</v>
      </c>
      <c r="P44" s="370">
        <f t="shared" si="4"/>
        <v>0</v>
      </c>
      <c r="Q44" s="366">
        <f t="shared" si="7"/>
        <v>1</v>
      </c>
      <c r="R44" s="370">
        <f t="shared" si="0"/>
        <v>0</v>
      </c>
      <c r="S44" s="366">
        <f t="shared" si="8"/>
        <v>0</v>
      </c>
      <c r="T44" s="366">
        <v>0</v>
      </c>
      <c r="U44" s="370">
        <f t="shared" si="5"/>
        <v>0</v>
      </c>
      <c r="V44" s="370"/>
      <c r="W44" s="372"/>
      <c r="X44" s="370"/>
      <c r="Y44" s="370"/>
      <c r="Z44" s="370"/>
      <c r="AA44" s="370"/>
      <c r="AB44" s="370"/>
      <c r="AC44" s="370"/>
      <c r="AD44" s="370"/>
      <c r="AE44" s="370"/>
      <c r="AF44" s="370"/>
      <c r="AG44" s="370"/>
      <c r="AH44" s="370"/>
      <c r="AI44" s="370"/>
      <c r="AJ44" s="366"/>
      <c r="AK44" s="366"/>
      <c r="AL44" s="360"/>
      <c r="AM44" s="305" t="s">
        <v>823</v>
      </c>
      <c r="AN44" s="305"/>
      <c r="AO44" s="305"/>
      <c r="AP44" s="305"/>
      <c r="AQ44" s="305"/>
      <c r="AR44" s="305"/>
      <c r="AS44" s="305"/>
      <c r="AT44" s="305"/>
      <c r="AU44" s="305"/>
      <c r="AV44" s="305"/>
    </row>
    <row r="45" spans="1:48" s="306" customFormat="1" ht="40.5" hidden="1">
      <c r="A45" s="308" t="s">
        <v>423</v>
      </c>
      <c r="B45" s="363" t="s">
        <v>620</v>
      </c>
      <c r="C45" s="283" t="s">
        <v>794</v>
      </c>
      <c r="D45" s="284"/>
      <c r="E45" s="284"/>
      <c r="F45" s="284"/>
      <c r="G45" s="284"/>
      <c r="H45" s="284"/>
      <c r="I45" s="284"/>
      <c r="J45" s="366">
        <v>1</v>
      </c>
      <c r="K45" s="370">
        <f t="shared" si="6"/>
        <v>0.42553191489361714</v>
      </c>
      <c r="L45" s="371">
        <v>6</v>
      </c>
      <c r="M45" s="371"/>
      <c r="N45" s="366">
        <f t="shared" si="2"/>
        <v>1</v>
      </c>
      <c r="O45" s="370">
        <f t="shared" si="3"/>
        <v>0</v>
      </c>
      <c r="P45" s="370">
        <f t="shared" si="4"/>
        <v>0</v>
      </c>
      <c r="Q45" s="366">
        <f t="shared" si="7"/>
        <v>1</v>
      </c>
      <c r="R45" s="370">
        <f t="shared" si="0"/>
        <v>0</v>
      </c>
      <c r="S45" s="366">
        <f t="shared" si="8"/>
        <v>0</v>
      </c>
      <c r="T45" s="366">
        <v>0</v>
      </c>
      <c r="U45" s="370">
        <f t="shared" si="5"/>
        <v>0</v>
      </c>
      <c r="V45" s="370">
        <v>0.34</v>
      </c>
      <c r="W45" s="372">
        <v>0.82</v>
      </c>
      <c r="X45" s="370">
        <v>10</v>
      </c>
      <c r="Y45" s="370">
        <f t="shared" ref="Y45:Y46" si="11">V45</f>
        <v>0.34</v>
      </c>
      <c r="Z45" s="370"/>
      <c r="AA45" s="370">
        <v>0.34</v>
      </c>
      <c r="AB45" s="370"/>
      <c r="AC45" s="370"/>
      <c r="AD45" s="370"/>
      <c r="AE45" s="370"/>
      <c r="AF45" s="370"/>
      <c r="AG45" s="370"/>
      <c r="AH45" s="370">
        <v>1</v>
      </c>
      <c r="AI45" s="370">
        <f>K45/J45*AH45</f>
        <v>0.42553191489361714</v>
      </c>
      <c r="AJ45" s="366"/>
      <c r="AK45" s="366"/>
      <c r="AL45" s="360"/>
      <c r="AM45" s="305"/>
      <c r="AN45" s="305"/>
      <c r="AO45" s="305"/>
      <c r="AP45" s="305"/>
      <c r="AQ45" s="305"/>
      <c r="AR45" s="305"/>
      <c r="AS45" s="305"/>
      <c r="AT45" s="305"/>
      <c r="AU45" s="305"/>
      <c r="AV45" s="305"/>
    </row>
    <row r="46" spans="1:48" s="306" customFormat="1" ht="39" hidden="1">
      <c r="A46" s="308" t="s">
        <v>425</v>
      </c>
      <c r="B46" s="304" t="s">
        <v>540</v>
      </c>
      <c r="C46" s="283" t="s">
        <v>797</v>
      </c>
      <c r="D46" s="284"/>
      <c r="E46" s="284"/>
      <c r="F46" s="284"/>
      <c r="G46" s="284"/>
      <c r="H46" s="284"/>
      <c r="I46" s="284"/>
      <c r="J46" s="366">
        <v>1</v>
      </c>
      <c r="K46" s="370">
        <f t="shared" si="6"/>
        <v>0.42553191489361714</v>
      </c>
      <c r="L46" s="371">
        <v>6</v>
      </c>
      <c r="M46" s="371">
        <v>0</v>
      </c>
      <c r="N46" s="366">
        <f t="shared" si="2"/>
        <v>1</v>
      </c>
      <c r="O46" s="370">
        <f t="shared" si="3"/>
        <v>0</v>
      </c>
      <c r="P46" s="370">
        <f t="shared" si="4"/>
        <v>0</v>
      </c>
      <c r="Q46" s="366">
        <f t="shared" si="7"/>
        <v>1</v>
      </c>
      <c r="R46" s="370">
        <f t="shared" si="0"/>
        <v>0</v>
      </c>
      <c r="S46" s="366">
        <f t="shared" si="8"/>
        <v>0</v>
      </c>
      <c r="T46" s="366">
        <v>0</v>
      </c>
      <c r="U46" s="370">
        <f t="shared" si="5"/>
        <v>0</v>
      </c>
      <c r="V46" s="370">
        <v>0.34</v>
      </c>
      <c r="W46" s="372">
        <v>0.28000000000000003</v>
      </c>
      <c r="X46" s="370">
        <v>3.4</v>
      </c>
      <c r="Y46" s="370">
        <f t="shared" si="11"/>
        <v>0.34</v>
      </c>
      <c r="Z46" s="370"/>
      <c r="AA46" s="370">
        <f t="shared" si="10"/>
        <v>0.28000000000000003</v>
      </c>
      <c r="AB46" s="370"/>
      <c r="AC46" s="370"/>
      <c r="AD46" s="370"/>
      <c r="AE46" s="370"/>
      <c r="AF46" s="370"/>
      <c r="AG46" s="370"/>
      <c r="AH46" s="370">
        <v>1</v>
      </c>
      <c r="AI46" s="370">
        <f>K46/J46*AH46</f>
        <v>0.42553191489361714</v>
      </c>
      <c r="AJ46" s="366"/>
      <c r="AK46" s="366"/>
      <c r="AL46" s="360"/>
      <c r="AM46" s="305" t="s">
        <v>823</v>
      </c>
      <c r="AN46" s="305"/>
      <c r="AO46" s="305"/>
      <c r="AP46" s="305"/>
      <c r="AQ46" s="305"/>
      <c r="AR46" s="305"/>
      <c r="AS46" s="305"/>
      <c r="AT46" s="305"/>
      <c r="AU46" s="305"/>
      <c r="AV46" s="305"/>
    </row>
    <row r="47" spans="1:48" s="306" customFormat="1" ht="39" hidden="1">
      <c r="A47" s="308" t="s">
        <v>426</v>
      </c>
      <c r="B47" s="304" t="s">
        <v>621</v>
      </c>
      <c r="C47" s="283" t="s">
        <v>794</v>
      </c>
      <c r="D47" s="284"/>
      <c r="E47" s="284"/>
      <c r="F47" s="284"/>
      <c r="G47" s="284"/>
      <c r="H47" s="284"/>
      <c r="I47" s="284"/>
      <c r="J47" s="366">
        <v>1</v>
      </c>
      <c r="K47" s="370">
        <f t="shared" si="6"/>
        <v>0.85106382978723427</v>
      </c>
      <c r="L47" s="371">
        <v>12</v>
      </c>
      <c r="M47" s="371"/>
      <c r="N47" s="366">
        <f t="shared" si="2"/>
        <v>1</v>
      </c>
      <c r="O47" s="370">
        <f t="shared" si="3"/>
        <v>0</v>
      </c>
      <c r="P47" s="370">
        <f t="shared" si="4"/>
        <v>0</v>
      </c>
      <c r="Q47" s="366">
        <f t="shared" si="7"/>
        <v>1</v>
      </c>
      <c r="R47" s="370">
        <f t="shared" si="0"/>
        <v>0</v>
      </c>
      <c r="S47" s="366">
        <f t="shared" si="8"/>
        <v>0</v>
      </c>
      <c r="T47" s="366">
        <v>0</v>
      </c>
      <c r="U47" s="370">
        <f t="shared" si="5"/>
        <v>0</v>
      </c>
      <c r="V47" s="370"/>
      <c r="W47" s="372"/>
      <c r="X47" s="370"/>
      <c r="Y47" s="370"/>
      <c r="Z47" s="370"/>
      <c r="AA47" s="370"/>
      <c r="AB47" s="370"/>
      <c r="AC47" s="370"/>
      <c r="AD47" s="370"/>
      <c r="AE47" s="370"/>
      <c r="AF47" s="370"/>
      <c r="AG47" s="370"/>
      <c r="AH47" s="370"/>
      <c r="AI47" s="370"/>
      <c r="AJ47" s="366"/>
      <c r="AK47" s="366"/>
      <c r="AL47" s="360"/>
      <c r="AM47" s="305"/>
      <c r="AN47" s="305"/>
      <c r="AO47" s="305"/>
      <c r="AP47" s="305"/>
      <c r="AQ47" s="305"/>
      <c r="AR47" s="305"/>
      <c r="AS47" s="305"/>
      <c r="AT47" s="305"/>
      <c r="AU47" s="305"/>
      <c r="AV47" s="305"/>
    </row>
    <row r="48" spans="1:48" s="306" customFormat="1" ht="39" hidden="1">
      <c r="A48" s="308" t="s">
        <v>428</v>
      </c>
      <c r="B48" s="304" t="s">
        <v>540</v>
      </c>
      <c r="C48" s="283" t="s">
        <v>797</v>
      </c>
      <c r="D48" s="284"/>
      <c r="E48" s="284"/>
      <c r="F48" s="284"/>
      <c r="G48" s="284"/>
      <c r="H48" s="284"/>
      <c r="I48" s="284"/>
      <c r="J48" s="366">
        <v>1</v>
      </c>
      <c r="K48" s="370">
        <f t="shared" si="6"/>
        <v>0.85106382978723427</v>
      </c>
      <c r="L48" s="371">
        <v>12</v>
      </c>
      <c r="M48" s="371">
        <v>0</v>
      </c>
      <c r="N48" s="366">
        <f t="shared" si="2"/>
        <v>1</v>
      </c>
      <c r="O48" s="370">
        <f t="shared" si="3"/>
        <v>0</v>
      </c>
      <c r="P48" s="370">
        <f t="shared" si="4"/>
        <v>0</v>
      </c>
      <c r="Q48" s="366">
        <f t="shared" si="7"/>
        <v>1</v>
      </c>
      <c r="R48" s="370">
        <f t="shared" si="0"/>
        <v>0</v>
      </c>
      <c r="S48" s="366">
        <f t="shared" si="8"/>
        <v>0</v>
      </c>
      <c r="T48" s="366">
        <v>0</v>
      </c>
      <c r="U48" s="370">
        <f t="shared" si="5"/>
        <v>0</v>
      </c>
      <c r="V48" s="370"/>
      <c r="W48" s="372"/>
      <c r="X48" s="370"/>
      <c r="Y48" s="370"/>
      <c r="Z48" s="370"/>
      <c r="AA48" s="370"/>
      <c r="AB48" s="370"/>
      <c r="AC48" s="370"/>
      <c r="AD48" s="370"/>
      <c r="AE48" s="370"/>
      <c r="AF48" s="370"/>
      <c r="AG48" s="370"/>
      <c r="AH48" s="370"/>
      <c r="AI48" s="370"/>
      <c r="AJ48" s="366"/>
      <c r="AK48" s="366"/>
      <c r="AL48" s="360"/>
      <c r="AM48" s="305" t="s">
        <v>823</v>
      </c>
      <c r="AN48" s="305"/>
      <c r="AO48" s="305"/>
      <c r="AP48" s="305"/>
      <c r="AQ48" s="305"/>
      <c r="AR48" s="305"/>
      <c r="AS48" s="305"/>
      <c r="AT48" s="305"/>
      <c r="AU48" s="305"/>
      <c r="AV48" s="305"/>
    </row>
    <row r="49" spans="1:48" s="306" customFormat="1" ht="39" hidden="1">
      <c r="A49" s="308" t="s">
        <v>429</v>
      </c>
      <c r="B49" s="304" t="s">
        <v>622</v>
      </c>
      <c r="C49" s="283" t="s">
        <v>794</v>
      </c>
      <c r="D49" s="284"/>
      <c r="E49" s="284"/>
      <c r="F49" s="284"/>
      <c r="G49" s="284"/>
      <c r="H49" s="284"/>
      <c r="I49" s="284"/>
      <c r="J49" s="366">
        <v>1</v>
      </c>
      <c r="K49" s="370">
        <f t="shared" si="6"/>
        <v>4.255319148936171</v>
      </c>
      <c r="L49" s="371">
        <v>60</v>
      </c>
      <c r="M49" s="371"/>
      <c r="N49" s="366">
        <f t="shared" si="2"/>
        <v>1</v>
      </c>
      <c r="O49" s="370">
        <f t="shared" si="3"/>
        <v>0</v>
      </c>
      <c r="P49" s="370">
        <f t="shared" si="4"/>
        <v>0</v>
      </c>
      <c r="Q49" s="366">
        <f t="shared" si="7"/>
        <v>1</v>
      </c>
      <c r="R49" s="370">
        <f t="shared" si="0"/>
        <v>0</v>
      </c>
      <c r="S49" s="366">
        <f t="shared" si="8"/>
        <v>0</v>
      </c>
      <c r="T49" s="366">
        <v>0</v>
      </c>
      <c r="U49" s="370">
        <f t="shared" si="5"/>
        <v>0</v>
      </c>
      <c r="V49" s="370"/>
      <c r="W49" s="372"/>
      <c r="X49" s="370"/>
      <c r="Y49" s="370"/>
      <c r="Z49" s="370"/>
      <c r="AA49" s="370"/>
      <c r="AB49" s="370"/>
      <c r="AC49" s="370"/>
      <c r="AD49" s="370"/>
      <c r="AE49" s="370"/>
      <c r="AF49" s="370"/>
      <c r="AG49" s="370"/>
      <c r="AH49" s="370"/>
      <c r="AI49" s="370"/>
      <c r="AJ49" s="366"/>
      <c r="AK49" s="366"/>
      <c r="AL49" s="360"/>
      <c r="AM49" s="305"/>
      <c r="AN49" s="305"/>
      <c r="AO49" s="305"/>
      <c r="AP49" s="305"/>
      <c r="AQ49" s="305"/>
      <c r="AR49" s="305"/>
      <c r="AS49" s="305"/>
      <c r="AT49" s="305"/>
      <c r="AU49" s="305"/>
      <c r="AV49" s="305"/>
    </row>
    <row r="50" spans="1:48" s="306" customFormat="1" ht="39" hidden="1">
      <c r="A50" s="308" t="s">
        <v>431</v>
      </c>
      <c r="B50" s="304" t="s">
        <v>540</v>
      </c>
      <c r="C50" s="283" t="s">
        <v>797</v>
      </c>
      <c r="D50" s="284"/>
      <c r="E50" s="284"/>
      <c r="F50" s="284"/>
      <c r="G50" s="284"/>
      <c r="H50" s="284"/>
      <c r="I50" s="284"/>
      <c r="J50" s="366">
        <v>1</v>
      </c>
      <c r="K50" s="370">
        <f t="shared" si="6"/>
        <v>4.255319148936171</v>
      </c>
      <c r="L50" s="371">
        <v>60</v>
      </c>
      <c r="M50" s="371">
        <v>0</v>
      </c>
      <c r="N50" s="366">
        <f t="shared" si="2"/>
        <v>1</v>
      </c>
      <c r="O50" s="370">
        <f t="shared" si="3"/>
        <v>0</v>
      </c>
      <c r="P50" s="370">
        <f t="shared" si="4"/>
        <v>0</v>
      </c>
      <c r="Q50" s="366">
        <f t="shared" si="7"/>
        <v>1</v>
      </c>
      <c r="R50" s="370">
        <f t="shared" si="0"/>
        <v>0</v>
      </c>
      <c r="S50" s="366">
        <f t="shared" si="8"/>
        <v>0</v>
      </c>
      <c r="T50" s="366">
        <v>0</v>
      </c>
      <c r="U50" s="370">
        <f t="shared" si="5"/>
        <v>0</v>
      </c>
      <c r="V50" s="370"/>
      <c r="W50" s="372"/>
      <c r="X50" s="370"/>
      <c r="Y50" s="370"/>
      <c r="Z50" s="370"/>
      <c r="AA50" s="370"/>
      <c r="AB50" s="370"/>
      <c r="AC50" s="370"/>
      <c r="AD50" s="370"/>
      <c r="AE50" s="370"/>
      <c r="AF50" s="370"/>
      <c r="AG50" s="370"/>
      <c r="AH50" s="370"/>
      <c r="AI50" s="370"/>
      <c r="AJ50" s="366"/>
      <c r="AK50" s="366"/>
      <c r="AL50" s="360"/>
      <c r="AM50" s="305" t="s">
        <v>823</v>
      </c>
      <c r="AN50" s="305"/>
      <c r="AO50" s="305"/>
      <c r="AP50" s="305"/>
      <c r="AQ50" s="305"/>
      <c r="AR50" s="305"/>
      <c r="AS50" s="305"/>
      <c r="AT50" s="305"/>
      <c r="AU50" s="305"/>
      <c r="AV50" s="305"/>
    </row>
    <row r="51" spans="1:48" s="306" customFormat="1" ht="39" hidden="1">
      <c r="A51" s="308" t="s">
        <v>432</v>
      </c>
      <c r="B51" s="304" t="s">
        <v>623</v>
      </c>
      <c r="C51" s="283" t="s">
        <v>794</v>
      </c>
      <c r="D51" s="284"/>
      <c r="E51" s="284"/>
      <c r="F51" s="284"/>
      <c r="G51" s="284"/>
      <c r="H51" s="284"/>
      <c r="I51" s="284"/>
      <c r="J51" s="366">
        <v>1</v>
      </c>
      <c r="K51" s="370">
        <f t="shared" si="6"/>
        <v>0.28368794326241142</v>
      </c>
      <c r="L51" s="371">
        <v>4</v>
      </c>
      <c r="M51" s="371"/>
      <c r="N51" s="366">
        <f t="shared" si="2"/>
        <v>1</v>
      </c>
      <c r="O51" s="370">
        <f t="shared" si="3"/>
        <v>0</v>
      </c>
      <c r="P51" s="370">
        <f t="shared" si="4"/>
        <v>0</v>
      </c>
      <c r="Q51" s="366">
        <f t="shared" si="7"/>
        <v>1</v>
      </c>
      <c r="R51" s="370">
        <f t="shared" si="0"/>
        <v>0</v>
      </c>
      <c r="S51" s="366">
        <f t="shared" si="8"/>
        <v>0</v>
      </c>
      <c r="T51" s="366">
        <v>0</v>
      </c>
      <c r="U51" s="370">
        <f t="shared" si="5"/>
        <v>0</v>
      </c>
      <c r="V51" s="370"/>
      <c r="W51" s="372"/>
      <c r="X51" s="370"/>
      <c r="Y51" s="370"/>
      <c r="Z51" s="370"/>
      <c r="AA51" s="370"/>
      <c r="AB51" s="370"/>
      <c r="AC51" s="370"/>
      <c r="AD51" s="370"/>
      <c r="AE51" s="370"/>
      <c r="AF51" s="370"/>
      <c r="AG51" s="370"/>
      <c r="AH51" s="370"/>
      <c r="AI51" s="370"/>
      <c r="AJ51" s="366"/>
      <c r="AK51" s="366"/>
      <c r="AL51" s="360"/>
      <c r="AM51" s="305"/>
      <c r="AN51" s="305"/>
      <c r="AO51" s="305"/>
      <c r="AP51" s="305"/>
      <c r="AQ51" s="305"/>
      <c r="AR51" s="305"/>
      <c r="AS51" s="305"/>
      <c r="AT51" s="305"/>
      <c r="AU51" s="305"/>
      <c r="AV51" s="305"/>
    </row>
    <row r="52" spans="1:48" s="306" customFormat="1" ht="39" hidden="1">
      <c r="A52" s="308" t="s">
        <v>434</v>
      </c>
      <c r="B52" s="304" t="s">
        <v>540</v>
      </c>
      <c r="C52" s="283" t="s">
        <v>797</v>
      </c>
      <c r="D52" s="284"/>
      <c r="E52" s="284"/>
      <c r="F52" s="284"/>
      <c r="G52" s="284"/>
      <c r="H52" s="284"/>
      <c r="I52" s="284"/>
      <c r="J52" s="366">
        <v>1</v>
      </c>
      <c r="K52" s="370">
        <f t="shared" si="6"/>
        <v>0.28368794326241142</v>
      </c>
      <c r="L52" s="371">
        <v>4</v>
      </c>
      <c r="M52" s="371">
        <v>0</v>
      </c>
      <c r="N52" s="366">
        <f t="shared" si="2"/>
        <v>1</v>
      </c>
      <c r="O52" s="370">
        <f t="shared" si="3"/>
        <v>0</v>
      </c>
      <c r="P52" s="370">
        <f t="shared" si="4"/>
        <v>0</v>
      </c>
      <c r="Q52" s="366">
        <f t="shared" si="7"/>
        <v>1</v>
      </c>
      <c r="R52" s="370">
        <f t="shared" si="0"/>
        <v>0</v>
      </c>
      <c r="S52" s="366">
        <f t="shared" si="8"/>
        <v>0</v>
      </c>
      <c r="T52" s="366">
        <v>0</v>
      </c>
      <c r="U52" s="370">
        <f t="shared" si="5"/>
        <v>0</v>
      </c>
      <c r="V52" s="370"/>
      <c r="W52" s="372"/>
      <c r="X52" s="370"/>
      <c r="Y52" s="370"/>
      <c r="Z52" s="370"/>
      <c r="AA52" s="370"/>
      <c r="AB52" s="370"/>
      <c r="AC52" s="370"/>
      <c r="AD52" s="370"/>
      <c r="AE52" s="370"/>
      <c r="AF52" s="370"/>
      <c r="AG52" s="370"/>
      <c r="AH52" s="370"/>
      <c r="AI52" s="370"/>
      <c r="AJ52" s="366"/>
      <c r="AK52" s="366"/>
      <c r="AL52" s="360"/>
      <c r="AM52" s="305" t="s">
        <v>823</v>
      </c>
      <c r="AN52" s="305"/>
      <c r="AO52" s="305"/>
      <c r="AP52" s="305"/>
      <c r="AQ52" s="305"/>
      <c r="AR52" s="305"/>
      <c r="AS52" s="305"/>
      <c r="AT52" s="305"/>
      <c r="AU52" s="305"/>
      <c r="AV52" s="305"/>
    </row>
    <row r="53" spans="1:48" s="306" customFormat="1" ht="39" hidden="1">
      <c r="A53" s="308" t="s">
        <v>435</v>
      </c>
      <c r="B53" s="304" t="s">
        <v>624</v>
      </c>
      <c r="C53" s="283" t="s">
        <v>794</v>
      </c>
      <c r="D53" s="284"/>
      <c r="E53" s="284"/>
      <c r="F53" s="284"/>
      <c r="G53" s="284"/>
      <c r="H53" s="284"/>
      <c r="I53" s="284"/>
      <c r="J53" s="366">
        <v>1</v>
      </c>
      <c r="K53" s="370">
        <f t="shared" si="6"/>
        <v>0.28368794326241142</v>
      </c>
      <c r="L53" s="371">
        <v>4</v>
      </c>
      <c r="M53" s="371"/>
      <c r="N53" s="366">
        <f t="shared" si="2"/>
        <v>1</v>
      </c>
      <c r="O53" s="370">
        <f t="shared" si="3"/>
        <v>0</v>
      </c>
      <c r="P53" s="370">
        <f t="shared" si="4"/>
        <v>0</v>
      </c>
      <c r="Q53" s="366">
        <f t="shared" si="7"/>
        <v>1</v>
      </c>
      <c r="R53" s="370">
        <f t="shared" si="0"/>
        <v>0</v>
      </c>
      <c r="S53" s="366">
        <f t="shared" si="8"/>
        <v>0</v>
      </c>
      <c r="T53" s="366">
        <v>0</v>
      </c>
      <c r="U53" s="370">
        <f t="shared" si="5"/>
        <v>0</v>
      </c>
      <c r="V53" s="370"/>
      <c r="W53" s="372"/>
      <c r="X53" s="370"/>
      <c r="Y53" s="370"/>
      <c r="Z53" s="370"/>
      <c r="AA53" s="370"/>
      <c r="AB53" s="370"/>
      <c r="AC53" s="370"/>
      <c r="AD53" s="370"/>
      <c r="AE53" s="370"/>
      <c r="AF53" s="370"/>
      <c r="AG53" s="370"/>
      <c r="AH53" s="370"/>
      <c r="AI53" s="370"/>
      <c r="AJ53" s="366"/>
      <c r="AK53" s="366"/>
      <c r="AL53" s="360"/>
      <c r="AM53" s="305"/>
      <c r="AN53" s="305"/>
      <c r="AO53" s="305"/>
      <c r="AP53" s="305"/>
      <c r="AQ53" s="305"/>
      <c r="AR53" s="305"/>
      <c r="AS53" s="305"/>
      <c r="AT53" s="305"/>
      <c r="AU53" s="305"/>
      <c r="AV53" s="305"/>
    </row>
    <row r="54" spans="1:48" s="306" customFormat="1" ht="39" hidden="1">
      <c r="A54" s="308" t="s">
        <v>437</v>
      </c>
      <c r="B54" s="304" t="s">
        <v>540</v>
      </c>
      <c r="C54" s="283" t="s">
        <v>797</v>
      </c>
      <c r="D54" s="284"/>
      <c r="E54" s="284"/>
      <c r="F54" s="284"/>
      <c r="G54" s="284"/>
      <c r="H54" s="284"/>
      <c r="I54" s="284"/>
      <c r="J54" s="366">
        <v>1</v>
      </c>
      <c r="K54" s="370">
        <f t="shared" si="6"/>
        <v>0.28368794326241142</v>
      </c>
      <c r="L54" s="371">
        <v>4</v>
      </c>
      <c r="M54" s="371">
        <v>0</v>
      </c>
      <c r="N54" s="366">
        <f t="shared" si="2"/>
        <v>1</v>
      </c>
      <c r="O54" s="370">
        <f t="shared" si="3"/>
        <v>0</v>
      </c>
      <c r="P54" s="370">
        <f t="shared" si="4"/>
        <v>0</v>
      </c>
      <c r="Q54" s="366">
        <f t="shared" si="7"/>
        <v>1</v>
      </c>
      <c r="R54" s="370">
        <f t="shared" si="0"/>
        <v>0</v>
      </c>
      <c r="S54" s="366">
        <f t="shared" si="8"/>
        <v>0</v>
      </c>
      <c r="T54" s="366">
        <v>0</v>
      </c>
      <c r="U54" s="370">
        <f t="shared" si="5"/>
        <v>0</v>
      </c>
      <c r="V54" s="370"/>
      <c r="W54" s="372"/>
      <c r="X54" s="370"/>
      <c r="Y54" s="370"/>
      <c r="Z54" s="370"/>
      <c r="AA54" s="370"/>
      <c r="AB54" s="370"/>
      <c r="AC54" s="370"/>
      <c r="AD54" s="370"/>
      <c r="AE54" s="370"/>
      <c r="AF54" s="370"/>
      <c r="AG54" s="370"/>
      <c r="AH54" s="370"/>
      <c r="AI54" s="370"/>
      <c r="AJ54" s="366"/>
      <c r="AK54" s="366"/>
      <c r="AL54" s="360"/>
      <c r="AM54" s="305" t="s">
        <v>823</v>
      </c>
      <c r="AN54" s="305"/>
      <c r="AO54" s="305"/>
      <c r="AP54" s="305"/>
      <c r="AQ54" s="305"/>
      <c r="AR54" s="305"/>
      <c r="AS54" s="305"/>
      <c r="AT54" s="305"/>
      <c r="AU54" s="305"/>
      <c r="AV54" s="305"/>
    </row>
    <row r="55" spans="1:48" s="306" customFormat="1" ht="39" hidden="1">
      <c r="A55" s="308" t="s">
        <v>438</v>
      </c>
      <c r="B55" s="304" t="s">
        <v>625</v>
      </c>
      <c r="C55" s="283" t="s">
        <v>794</v>
      </c>
      <c r="D55" s="284"/>
      <c r="E55" s="284"/>
      <c r="F55" s="284"/>
      <c r="G55" s="284"/>
      <c r="H55" s="284"/>
      <c r="I55" s="284"/>
      <c r="J55" s="366">
        <v>1</v>
      </c>
      <c r="K55" s="370">
        <f t="shared" si="6"/>
        <v>0.28368794326241142</v>
      </c>
      <c r="L55" s="371">
        <v>4</v>
      </c>
      <c r="M55" s="371"/>
      <c r="N55" s="366">
        <f t="shared" si="2"/>
        <v>1</v>
      </c>
      <c r="O55" s="370">
        <f t="shared" si="3"/>
        <v>0</v>
      </c>
      <c r="P55" s="370">
        <f t="shared" si="4"/>
        <v>0</v>
      </c>
      <c r="Q55" s="366">
        <f t="shared" si="7"/>
        <v>1</v>
      </c>
      <c r="R55" s="370">
        <f t="shared" si="0"/>
        <v>0</v>
      </c>
      <c r="S55" s="366">
        <f t="shared" si="8"/>
        <v>0</v>
      </c>
      <c r="T55" s="366">
        <v>0</v>
      </c>
      <c r="U55" s="370">
        <f t="shared" si="5"/>
        <v>0</v>
      </c>
      <c r="V55" s="370"/>
      <c r="W55" s="372"/>
      <c r="X55" s="370"/>
      <c r="Y55" s="370"/>
      <c r="Z55" s="370"/>
      <c r="AA55" s="370"/>
      <c r="AB55" s="370"/>
      <c r="AC55" s="370"/>
      <c r="AD55" s="370"/>
      <c r="AE55" s="370"/>
      <c r="AF55" s="370"/>
      <c r="AG55" s="370"/>
      <c r="AH55" s="370"/>
      <c r="AI55" s="370"/>
      <c r="AJ55" s="366"/>
      <c r="AK55" s="366"/>
      <c r="AL55" s="360"/>
      <c r="AM55" s="305"/>
      <c r="AN55" s="305"/>
      <c r="AO55" s="305"/>
      <c r="AP55" s="305"/>
      <c r="AQ55" s="305"/>
      <c r="AR55" s="305"/>
      <c r="AS55" s="305"/>
      <c r="AT55" s="305"/>
      <c r="AU55" s="305"/>
      <c r="AV55" s="305"/>
    </row>
    <row r="56" spans="1:48" s="306" customFormat="1" ht="39" hidden="1">
      <c r="A56" s="308" t="s">
        <v>440</v>
      </c>
      <c r="B56" s="304" t="s">
        <v>540</v>
      </c>
      <c r="C56" s="283" t="s">
        <v>797</v>
      </c>
      <c r="D56" s="284"/>
      <c r="E56" s="284"/>
      <c r="F56" s="284"/>
      <c r="G56" s="284"/>
      <c r="H56" s="284"/>
      <c r="I56" s="284"/>
      <c r="J56" s="366">
        <v>1</v>
      </c>
      <c r="K56" s="370">
        <f t="shared" si="6"/>
        <v>0.28368794326241142</v>
      </c>
      <c r="L56" s="371">
        <v>4</v>
      </c>
      <c r="M56" s="371">
        <v>0</v>
      </c>
      <c r="N56" s="366">
        <f t="shared" si="2"/>
        <v>1</v>
      </c>
      <c r="O56" s="370">
        <f t="shared" si="3"/>
        <v>0</v>
      </c>
      <c r="P56" s="370">
        <f t="shared" si="4"/>
        <v>0</v>
      </c>
      <c r="Q56" s="366">
        <f t="shared" si="7"/>
        <v>1</v>
      </c>
      <c r="R56" s="370">
        <f t="shared" si="0"/>
        <v>0</v>
      </c>
      <c r="S56" s="366">
        <f t="shared" si="8"/>
        <v>0</v>
      </c>
      <c r="T56" s="366">
        <v>0</v>
      </c>
      <c r="U56" s="370">
        <f t="shared" si="5"/>
        <v>0</v>
      </c>
      <c r="V56" s="370"/>
      <c r="W56" s="372"/>
      <c r="X56" s="370"/>
      <c r="Y56" s="370"/>
      <c r="Z56" s="370"/>
      <c r="AA56" s="370"/>
      <c r="AB56" s="370"/>
      <c r="AC56" s="370"/>
      <c r="AD56" s="370"/>
      <c r="AE56" s="370"/>
      <c r="AF56" s="370"/>
      <c r="AG56" s="370"/>
      <c r="AH56" s="370"/>
      <c r="AI56" s="370"/>
      <c r="AJ56" s="366"/>
      <c r="AK56" s="366"/>
      <c r="AL56" s="360"/>
      <c r="AM56" s="305" t="s">
        <v>823</v>
      </c>
      <c r="AN56" s="305"/>
      <c r="AO56" s="305"/>
      <c r="AP56" s="305"/>
      <c r="AQ56" s="305"/>
      <c r="AR56" s="305"/>
      <c r="AS56" s="305"/>
      <c r="AT56" s="305"/>
      <c r="AU56" s="305"/>
      <c r="AV56" s="305"/>
    </row>
    <row r="57" spans="1:48" s="306" customFormat="1" ht="39" hidden="1">
      <c r="A57" s="308" t="s">
        <v>441</v>
      </c>
      <c r="B57" s="304" t="s">
        <v>626</v>
      </c>
      <c r="C57" s="283" t="s">
        <v>794</v>
      </c>
      <c r="D57" s="284"/>
      <c r="E57" s="284"/>
      <c r="F57" s="284"/>
      <c r="G57" s="284"/>
      <c r="H57" s="284"/>
      <c r="I57" s="284"/>
      <c r="J57" s="366">
        <v>1</v>
      </c>
      <c r="K57" s="370">
        <f t="shared" si="6"/>
        <v>0.28368794326241142</v>
      </c>
      <c r="L57" s="371">
        <v>4</v>
      </c>
      <c r="M57" s="371"/>
      <c r="N57" s="366">
        <f t="shared" si="2"/>
        <v>1</v>
      </c>
      <c r="O57" s="370">
        <f t="shared" si="3"/>
        <v>0</v>
      </c>
      <c r="P57" s="370">
        <f t="shared" si="4"/>
        <v>0</v>
      </c>
      <c r="Q57" s="366">
        <f t="shared" si="7"/>
        <v>1</v>
      </c>
      <c r="R57" s="370">
        <f t="shared" si="0"/>
        <v>0</v>
      </c>
      <c r="S57" s="366">
        <f t="shared" si="8"/>
        <v>0</v>
      </c>
      <c r="T57" s="366">
        <v>0</v>
      </c>
      <c r="U57" s="370">
        <f t="shared" si="5"/>
        <v>0</v>
      </c>
      <c r="V57" s="370"/>
      <c r="W57" s="372"/>
      <c r="X57" s="370"/>
      <c r="Y57" s="370"/>
      <c r="Z57" s="370"/>
      <c r="AA57" s="370"/>
      <c r="AB57" s="370"/>
      <c r="AC57" s="370"/>
      <c r="AD57" s="370"/>
      <c r="AE57" s="370"/>
      <c r="AF57" s="370"/>
      <c r="AG57" s="370"/>
      <c r="AH57" s="370"/>
      <c r="AI57" s="370"/>
      <c r="AJ57" s="366"/>
      <c r="AK57" s="366"/>
      <c r="AL57" s="360"/>
      <c r="AM57" s="305"/>
      <c r="AN57" s="305"/>
      <c r="AO57" s="305"/>
      <c r="AP57" s="305"/>
      <c r="AQ57" s="305"/>
      <c r="AR57" s="305"/>
      <c r="AS57" s="305"/>
      <c r="AT57" s="305"/>
      <c r="AU57" s="305"/>
      <c r="AV57" s="305"/>
    </row>
    <row r="58" spans="1:48" s="306" customFormat="1" ht="39" hidden="1">
      <c r="A58" s="308" t="s">
        <v>443</v>
      </c>
      <c r="B58" s="304" t="s">
        <v>540</v>
      </c>
      <c r="C58" s="283" t="s">
        <v>797</v>
      </c>
      <c r="D58" s="284"/>
      <c r="E58" s="284"/>
      <c r="F58" s="284"/>
      <c r="G58" s="284"/>
      <c r="H58" s="284"/>
      <c r="I58" s="284"/>
      <c r="J58" s="366">
        <v>1</v>
      </c>
      <c r="K58" s="370">
        <f t="shared" si="6"/>
        <v>0.28368794326241142</v>
      </c>
      <c r="L58" s="371">
        <v>4</v>
      </c>
      <c r="M58" s="371">
        <v>0</v>
      </c>
      <c r="N58" s="366">
        <f t="shared" si="2"/>
        <v>1</v>
      </c>
      <c r="O58" s="370">
        <f t="shared" si="3"/>
        <v>0</v>
      </c>
      <c r="P58" s="370">
        <f t="shared" si="4"/>
        <v>0</v>
      </c>
      <c r="Q58" s="366">
        <f t="shared" si="7"/>
        <v>1</v>
      </c>
      <c r="R58" s="370">
        <f t="shared" si="0"/>
        <v>0</v>
      </c>
      <c r="S58" s="366">
        <f t="shared" si="8"/>
        <v>0</v>
      </c>
      <c r="T58" s="366">
        <v>0</v>
      </c>
      <c r="U58" s="370">
        <f t="shared" si="5"/>
        <v>0</v>
      </c>
      <c r="V58" s="370"/>
      <c r="W58" s="372"/>
      <c r="X58" s="370"/>
      <c r="Y58" s="370"/>
      <c r="Z58" s="370"/>
      <c r="AA58" s="370"/>
      <c r="AB58" s="370"/>
      <c r="AC58" s="370"/>
      <c r="AD58" s="370"/>
      <c r="AE58" s="370"/>
      <c r="AF58" s="370"/>
      <c r="AG58" s="370"/>
      <c r="AH58" s="370"/>
      <c r="AI58" s="370"/>
      <c r="AJ58" s="366"/>
      <c r="AK58" s="366"/>
      <c r="AL58" s="360"/>
      <c r="AM58" s="305" t="s">
        <v>823</v>
      </c>
      <c r="AN58" s="305"/>
      <c r="AO58" s="305"/>
      <c r="AP58" s="305"/>
      <c r="AQ58" s="305"/>
      <c r="AR58" s="305"/>
      <c r="AS58" s="305"/>
      <c r="AT58" s="305"/>
      <c r="AU58" s="305"/>
      <c r="AV58" s="305"/>
    </row>
    <row r="59" spans="1:48" s="306" customFormat="1" ht="39" hidden="1">
      <c r="A59" s="308" t="s">
        <v>444</v>
      </c>
      <c r="B59" s="304" t="s">
        <v>809</v>
      </c>
      <c r="C59" s="283" t="s">
        <v>794</v>
      </c>
      <c r="D59" s="284"/>
      <c r="E59" s="284"/>
      <c r="F59" s="284"/>
      <c r="G59" s="284"/>
      <c r="H59" s="284"/>
      <c r="I59" s="284"/>
      <c r="J59" s="366">
        <v>82.6</v>
      </c>
      <c r="K59" s="370">
        <f t="shared" si="6"/>
        <v>1.3475177304964541</v>
      </c>
      <c r="L59" s="371">
        <v>19</v>
      </c>
      <c r="M59" s="371"/>
      <c r="N59" s="366">
        <f t="shared" si="2"/>
        <v>82.6</v>
      </c>
      <c r="O59" s="370">
        <f t="shared" si="3"/>
        <v>0</v>
      </c>
      <c r="P59" s="370">
        <f t="shared" si="4"/>
        <v>0</v>
      </c>
      <c r="Q59" s="366">
        <f t="shared" si="7"/>
        <v>82.6</v>
      </c>
      <c r="R59" s="370">
        <f t="shared" si="0"/>
        <v>0</v>
      </c>
      <c r="S59" s="366">
        <f t="shared" si="8"/>
        <v>0</v>
      </c>
      <c r="T59" s="366">
        <v>0</v>
      </c>
      <c r="U59" s="370">
        <f t="shared" si="5"/>
        <v>0</v>
      </c>
      <c r="V59" s="370"/>
      <c r="W59" s="372"/>
      <c r="X59" s="370"/>
      <c r="Y59" s="370"/>
      <c r="Z59" s="370"/>
      <c r="AA59" s="370"/>
      <c r="AB59" s="370"/>
      <c r="AC59" s="370"/>
      <c r="AD59" s="370"/>
      <c r="AE59" s="370"/>
      <c r="AF59" s="370"/>
      <c r="AG59" s="370"/>
      <c r="AH59" s="370"/>
      <c r="AI59" s="370"/>
      <c r="AJ59" s="366"/>
      <c r="AK59" s="366"/>
      <c r="AL59" s="360"/>
      <c r="AM59" s="305"/>
      <c r="AN59" s="305"/>
      <c r="AO59" s="305"/>
      <c r="AP59" s="305"/>
      <c r="AQ59" s="305"/>
      <c r="AR59" s="305"/>
      <c r="AS59" s="305"/>
      <c r="AT59" s="305"/>
      <c r="AU59" s="305"/>
      <c r="AV59" s="305"/>
    </row>
    <row r="60" spans="1:48" s="306" customFormat="1" ht="39" hidden="1">
      <c r="A60" s="308" t="s">
        <v>446</v>
      </c>
      <c r="B60" s="304" t="s">
        <v>540</v>
      </c>
      <c r="C60" s="283" t="s">
        <v>797</v>
      </c>
      <c r="D60" s="284"/>
      <c r="E60" s="284"/>
      <c r="F60" s="284"/>
      <c r="G60" s="284"/>
      <c r="H60" s="284"/>
      <c r="I60" s="284"/>
      <c r="J60" s="366">
        <v>82.6</v>
      </c>
      <c r="K60" s="370">
        <f t="shared" si="6"/>
        <v>1.3475177304964541</v>
      </c>
      <c r="L60" s="371">
        <v>19</v>
      </c>
      <c r="M60" s="371">
        <v>18.5</v>
      </c>
      <c r="N60" s="366">
        <f t="shared" si="2"/>
        <v>82.6</v>
      </c>
      <c r="O60" s="370">
        <f t="shared" si="3"/>
        <v>2.6241134751773054</v>
      </c>
      <c r="P60" s="370">
        <f t="shared" si="4"/>
        <v>18.5</v>
      </c>
      <c r="Q60" s="366">
        <f t="shared" si="7"/>
        <v>82.6</v>
      </c>
      <c r="R60" s="370">
        <f t="shared" si="0"/>
        <v>2.6241134751773054</v>
      </c>
      <c r="S60" s="366">
        <f t="shared" si="8"/>
        <v>100</v>
      </c>
      <c r="T60" s="366">
        <v>14.57</v>
      </c>
      <c r="U60" s="370">
        <f t="shared" si="5"/>
        <v>78.756756756756758</v>
      </c>
      <c r="V60" s="370"/>
      <c r="W60" s="372"/>
      <c r="X60" s="370"/>
      <c r="Y60" s="370"/>
      <c r="Z60" s="370"/>
      <c r="AA60" s="370"/>
      <c r="AB60" s="370"/>
      <c r="AC60" s="370"/>
      <c r="AD60" s="370"/>
      <c r="AE60" s="370"/>
      <c r="AF60" s="370"/>
      <c r="AG60" s="370"/>
      <c r="AH60" s="370"/>
      <c r="AI60" s="370"/>
      <c r="AJ60" s="366"/>
      <c r="AK60" s="366"/>
      <c r="AL60" s="360"/>
      <c r="AM60" s="305" t="s">
        <v>820</v>
      </c>
      <c r="AN60" s="305"/>
      <c r="AO60" s="305"/>
      <c r="AP60" s="305"/>
      <c r="AQ60" s="305"/>
      <c r="AR60" s="305"/>
      <c r="AS60" s="305"/>
      <c r="AT60" s="305"/>
      <c r="AU60" s="305"/>
      <c r="AV60" s="305"/>
    </row>
    <row r="61" spans="1:48" s="306" customFormat="1" ht="39" hidden="1">
      <c r="A61" s="308" t="s">
        <v>447</v>
      </c>
      <c r="B61" s="304" t="s">
        <v>628</v>
      </c>
      <c r="C61" s="283" t="s">
        <v>794</v>
      </c>
      <c r="D61" s="284"/>
      <c r="E61" s="284"/>
      <c r="F61" s="284"/>
      <c r="G61" s="284"/>
      <c r="H61" s="284"/>
      <c r="I61" s="284"/>
      <c r="J61" s="366">
        <v>1</v>
      </c>
      <c r="K61" s="370">
        <f t="shared" si="6"/>
        <v>0.42553191489361714</v>
      </c>
      <c r="L61" s="371">
        <v>6</v>
      </c>
      <c r="M61" s="371"/>
      <c r="N61" s="366">
        <f t="shared" si="2"/>
        <v>1</v>
      </c>
      <c r="O61" s="370">
        <f t="shared" si="3"/>
        <v>0</v>
      </c>
      <c r="P61" s="370">
        <f t="shared" si="4"/>
        <v>0</v>
      </c>
      <c r="Q61" s="366">
        <f t="shared" si="7"/>
        <v>1</v>
      </c>
      <c r="R61" s="370">
        <f t="shared" si="0"/>
        <v>0</v>
      </c>
      <c r="S61" s="366">
        <f t="shared" si="8"/>
        <v>0</v>
      </c>
      <c r="T61" s="366">
        <v>0</v>
      </c>
      <c r="U61" s="370">
        <f t="shared" si="5"/>
        <v>0</v>
      </c>
      <c r="V61" s="370"/>
      <c r="W61" s="372"/>
      <c r="X61" s="370"/>
      <c r="Y61" s="370"/>
      <c r="Z61" s="370"/>
      <c r="AA61" s="370"/>
      <c r="AB61" s="370"/>
      <c r="AC61" s="370"/>
      <c r="AD61" s="370"/>
      <c r="AE61" s="370"/>
      <c r="AF61" s="370"/>
      <c r="AG61" s="370"/>
      <c r="AH61" s="370"/>
      <c r="AI61" s="370"/>
      <c r="AJ61" s="366"/>
      <c r="AK61" s="366"/>
      <c r="AL61" s="360"/>
      <c r="AM61" s="305"/>
      <c r="AN61" s="305"/>
      <c r="AO61" s="305"/>
      <c r="AP61" s="305"/>
      <c r="AQ61" s="305"/>
      <c r="AR61" s="305"/>
      <c r="AS61" s="305"/>
      <c r="AT61" s="305"/>
      <c r="AU61" s="305"/>
      <c r="AV61" s="305"/>
    </row>
    <row r="62" spans="1:48" s="306" customFormat="1" ht="39" hidden="1">
      <c r="A62" s="308" t="s">
        <v>449</v>
      </c>
      <c r="B62" s="304" t="s">
        <v>540</v>
      </c>
      <c r="C62" s="283" t="s">
        <v>797</v>
      </c>
      <c r="D62" s="284"/>
      <c r="E62" s="284"/>
      <c r="F62" s="284"/>
      <c r="G62" s="284"/>
      <c r="H62" s="284"/>
      <c r="I62" s="284"/>
      <c r="J62" s="366">
        <v>1</v>
      </c>
      <c r="K62" s="370">
        <f t="shared" si="6"/>
        <v>0.42553191489361714</v>
      </c>
      <c r="L62" s="371">
        <v>6</v>
      </c>
      <c r="M62" s="371">
        <v>0</v>
      </c>
      <c r="N62" s="366">
        <f t="shared" si="2"/>
        <v>1</v>
      </c>
      <c r="O62" s="370">
        <f t="shared" si="3"/>
        <v>0</v>
      </c>
      <c r="P62" s="370">
        <f t="shared" si="4"/>
        <v>0</v>
      </c>
      <c r="Q62" s="366">
        <f t="shared" si="7"/>
        <v>1</v>
      </c>
      <c r="R62" s="370">
        <f t="shared" si="0"/>
        <v>0</v>
      </c>
      <c r="S62" s="366">
        <f t="shared" si="8"/>
        <v>0</v>
      </c>
      <c r="T62" s="366">
        <v>0</v>
      </c>
      <c r="U62" s="370">
        <f t="shared" si="5"/>
        <v>0</v>
      </c>
      <c r="V62" s="370"/>
      <c r="W62" s="372"/>
      <c r="X62" s="370"/>
      <c r="Y62" s="370"/>
      <c r="Z62" s="370"/>
      <c r="AA62" s="370"/>
      <c r="AB62" s="370"/>
      <c r="AC62" s="370"/>
      <c r="AD62" s="370"/>
      <c r="AE62" s="370"/>
      <c r="AF62" s="370"/>
      <c r="AG62" s="370"/>
      <c r="AH62" s="370"/>
      <c r="AI62" s="370"/>
      <c r="AJ62" s="366"/>
      <c r="AK62" s="366"/>
      <c r="AL62" s="360"/>
      <c r="AM62" s="305" t="s">
        <v>820</v>
      </c>
      <c r="AN62" s="305"/>
      <c r="AO62" s="305"/>
      <c r="AP62" s="305"/>
      <c r="AQ62" s="305"/>
      <c r="AR62" s="305"/>
      <c r="AS62" s="305"/>
      <c r="AT62" s="305"/>
      <c r="AU62" s="305"/>
      <c r="AV62" s="305"/>
    </row>
    <row r="63" spans="1:48" s="306" customFormat="1" ht="58.5" hidden="1">
      <c r="A63" s="308" t="s">
        <v>255</v>
      </c>
      <c r="B63" s="297" t="s">
        <v>629</v>
      </c>
      <c r="C63" s="283" t="s">
        <v>794</v>
      </c>
      <c r="D63" s="284"/>
      <c r="E63" s="284"/>
      <c r="F63" s="284"/>
      <c r="G63" s="284"/>
      <c r="H63" s="284"/>
      <c r="I63" s="284"/>
      <c r="J63" s="366">
        <v>26.03</v>
      </c>
      <c r="K63" s="370">
        <f t="shared" si="6"/>
        <v>5.3900709219858163</v>
      </c>
      <c r="L63" s="371">
        <v>76</v>
      </c>
      <c r="M63" s="371"/>
      <c r="N63" s="366">
        <f t="shared" si="2"/>
        <v>26.03</v>
      </c>
      <c r="O63" s="370">
        <f t="shared" si="3"/>
        <v>0</v>
      </c>
      <c r="P63" s="370">
        <f t="shared" si="4"/>
        <v>0</v>
      </c>
      <c r="Q63" s="366">
        <f t="shared" si="7"/>
        <v>26.03</v>
      </c>
      <c r="R63" s="370">
        <f t="shared" si="0"/>
        <v>0</v>
      </c>
      <c r="S63" s="366">
        <f t="shared" si="8"/>
        <v>0</v>
      </c>
      <c r="T63" s="366">
        <v>0</v>
      </c>
      <c r="U63" s="370">
        <f t="shared" si="5"/>
        <v>0</v>
      </c>
      <c r="V63" s="370"/>
      <c r="W63" s="372"/>
      <c r="X63" s="370"/>
      <c r="Y63" s="370"/>
      <c r="Z63" s="370"/>
      <c r="AA63" s="370"/>
      <c r="AB63" s="370"/>
      <c r="AC63" s="370"/>
      <c r="AD63" s="370"/>
      <c r="AE63" s="370"/>
      <c r="AF63" s="370"/>
      <c r="AG63" s="370"/>
      <c r="AH63" s="370"/>
      <c r="AI63" s="370"/>
      <c r="AJ63" s="366"/>
      <c r="AK63" s="366"/>
      <c r="AL63" s="360"/>
      <c r="AM63" s="305"/>
      <c r="AN63" s="305"/>
      <c r="AO63" s="305"/>
      <c r="AP63" s="305"/>
      <c r="AQ63" s="305"/>
      <c r="AR63" s="305"/>
      <c r="AS63" s="305"/>
      <c r="AT63" s="305"/>
      <c r="AU63" s="305"/>
      <c r="AV63" s="305"/>
    </row>
    <row r="64" spans="1:48" s="306" customFormat="1" ht="39" hidden="1">
      <c r="A64" s="308" t="s">
        <v>257</v>
      </c>
      <c r="B64" s="304" t="s">
        <v>561</v>
      </c>
      <c r="C64" s="283" t="s">
        <v>797</v>
      </c>
      <c r="D64" s="284"/>
      <c r="E64" s="284"/>
      <c r="F64" s="284"/>
      <c r="G64" s="284"/>
      <c r="H64" s="284"/>
      <c r="I64" s="284"/>
      <c r="J64" s="366">
        <v>26.03</v>
      </c>
      <c r="K64" s="370">
        <f t="shared" si="6"/>
        <v>5.3900709219858163</v>
      </c>
      <c r="L64" s="371">
        <v>76</v>
      </c>
      <c r="M64" s="371">
        <v>47</v>
      </c>
      <c r="N64" s="366">
        <f t="shared" si="2"/>
        <v>26.03</v>
      </c>
      <c r="O64" s="370">
        <f t="shared" si="3"/>
        <v>6.6666666666666679</v>
      </c>
      <c r="P64" s="370">
        <f t="shared" si="4"/>
        <v>47</v>
      </c>
      <c r="Q64" s="366">
        <f t="shared" si="7"/>
        <v>26.03</v>
      </c>
      <c r="R64" s="370">
        <f t="shared" si="0"/>
        <v>6.6666666666666679</v>
      </c>
      <c r="S64" s="366">
        <f t="shared" si="8"/>
        <v>100</v>
      </c>
      <c r="T64" s="366">
        <v>46.99</v>
      </c>
      <c r="U64" s="370">
        <f t="shared" si="5"/>
        <v>99.978723404255319</v>
      </c>
      <c r="V64" s="370"/>
      <c r="W64" s="372"/>
      <c r="X64" s="370"/>
      <c r="Y64" s="370"/>
      <c r="Z64" s="370"/>
      <c r="AA64" s="370"/>
      <c r="AB64" s="370"/>
      <c r="AC64" s="370"/>
      <c r="AD64" s="370"/>
      <c r="AE64" s="370"/>
      <c r="AF64" s="370"/>
      <c r="AG64" s="370"/>
      <c r="AH64" s="370"/>
      <c r="AI64" s="370"/>
      <c r="AJ64" s="366"/>
      <c r="AK64" s="366"/>
      <c r="AL64" s="360"/>
      <c r="AM64" s="305" t="s">
        <v>823</v>
      </c>
      <c r="AN64" s="305"/>
      <c r="AO64" s="305"/>
      <c r="AP64" s="305"/>
      <c r="AQ64" s="305"/>
      <c r="AR64" s="305"/>
      <c r="AS64" s="305"/>
      <c r="AT64" s="305"/>
      <c r="AU64" s="305"/>
      <c r="AV64" s="305"/>
    </row>
    <row r="65" spans="1:48" s="306" customFormat="1" ht="40.5" hidden="1">
      <c r="A65" s="308" t="s">
        <v>260</v>
      </c>
      <c r="B65" s="353" t="s">
        <v>673</v>
      </c>
      <c r="C65" s="283" t="s">
        <v>794</v>
      </c>
      <c r="D65" s="284"/>
      <c r="E65" s="284"/>
      <c r="F65" s="284"/>
      <c r="G65" s="284"/>
      <c r="H65" s="284"/>
      <c r="I65" s="284"/>
      <c r="J65" s="366">
        <v>1.5</v>
      </c>
      <c r="K65" s="370">
        <f t="shared" si="6"/>
        <v>1.9148936170212769</v>
      </c>
      <c r="L65" s="371">
        <v>27</v>
      </c>
      <c r="M65" s="371"/>
      <c r="N65" s="366">
        <f t="shared" si="2"/>
        <v>1.5</v>
      </c>
      <c r="O65" s="370">
        <f t="shared" si="3"/>
        <v>0</v>
      </c>
      <c r="P65" s="370">
        <f t="shared" si="4"/>
        <v>0</v>
      </c>
      <c r="Q65" s="366">
        <f t="shared" si="7"/>
        <v>1.5</v>
      </c>
      <c r="R65" s="370">
        <f t="shared" si="0"/>
        <v>0</v>
      </c>
      <c r="S65" s="366">
        <f t="shared" si="8"/>
        <v>0</v>
      </c>
      <c r="T65" s="366">
        <v>0</v>
      </c>
      <c r="U65" s="370">
        <f t="shared" si="5"/>
        <v>0</v>
      </c>
      <c r="V65" s="370"/>
      <c r="W65" s="372"/>
      <c r="X65" s="370"/>
      <c r="Y65" s="370"/>
      <c r="Z65" s="370"/>
      <c r="AA65" s="370"/>
      <c r="AB65" s="370"/>
      <c r="AC65" s="370"/>
      <c r="AD65" s="370"/>
      <c r="AE65" s="370"/>
      <c r="AF65" s="370"/>
      <c r="AG65" s="370"/>
      <c r="AH65" s="370"/>
      <c r="AI65" s="370"/>
      <c r="AJ65" s="366"/>
      <c r="AK65" s="366"/>
      <c r="AL65" s="360"/>
      <c r="AM65" s="305"/>
      <c r="AN65" s="305"/>
      <c r="AO65" s="305"/>
      <c r="AP65" s="305"/>
      <c r="AQ65" s="305"/>
      <c r="AR65" s="305"/>
      <c r="AS65" s="305"/>
      <c r="AT65" s="305"/>
      <c r="AU65" s="305"/>
      <c r="AV65" s="305"/>
    </row>
    <row r="66" spans="1:48" s="306" customFormat="1" ht="39" hidden="1">
      <c r="A66" s="308" t="s">
        <v>262</v>
      </c>
      <c r="B66" s="304" t="s">
        <v>561</v>
      </c>
      <c r="C66" s="283" t="s">
        <v>797</v>
      </c>
      <c r="D66" s="284"/>
      <c r="E66" s="284"/>
      <c r="F66" s="284"/>
      <c r="G66" s="284"/>
      <c r="H66" s="284"/>
      <c r="I66" s="284"/>
      <c r="J66" s="366">
        <v>1.5</v>
      </c>
      <c r="K66" s="370">
        <f t="shared" si="6"/>
        <v>1.9148936170212769</v>
      </c>
      <c r="L66" s="371">
        <v>27</v>
      </c>
      <c r="M66" s="371">
        <v>26.65</v>
      </c>
      <c r="N66" s="366">
        <f t="shared" si="2"/>
        <v>1.5</v>
      </c>
      <c r="O66" s="370">
        <f t="shared" si="3"/>
        <v>3.7801418439716317</v>
      </c>
      <c r="P66" s="370">
        <f t="shared" si="4"/>
        <v>26.65</v>
      </c>
      <c r="Q66" s="366">
        <f t="shared" si="7"/>
        <v>1.5</v>
      </c>
      <c r="R66" s="370">
        <f t="shared" si="0"/>
        <v>3.7801418439716317</v>
      </c>
      <c r="S66" s="366">
        <f t="shared" si="8"/>
        <v>100</v>
      </c>
      <c r="T66" s="366">
        <v>26.6</v>
      </c>
      <c r="U66" s="370">
        <f t="shared" si="5"/>
        <v>99.812382739212012</v>
      </c>
      <c r="V66" s="370"/>
      <c r="W66" s="372"/>
      <c r="X66" s="370"/>
      <c r="Y66" s="370"/>
      <c r="Z66" s="370"/>
      <c r="AA66" s="370"/>
      <c r="AB66" s="370"/>
      <c r="AC66" s="370"/>
      <c r="AD66" s="370"/>
      <c r="AE66" s="370"/>
      <c r="AF66" s="370"/>
      <c r="AG66" s="370"/>
      <c r="AH66" s="370"/>
      <c r="AI66" s="370"/>
      <c r="AJ66" s="366"/>
      <c r="AK66" s="366"/>
      <c r="AL66" s="360"/>
      <c r="AM66" s="305" t="s">
        <v>823</v>
      </c>
      <c r="AN66" s="305"/>
      <c r="AO66" s="305"/>
      <c r="AP66" s="305"/>
      <c r="AQ66" s="305"/>
      <c r="AR66" s="305"/>
      <c r="AS66" s="305"/>
      <c r="AT66" s="305"/>
      <c r="AU66" s="305"/>
      <c r="AV66" s="305"/>
    </row>
    <row r="67" spans="1:48" s="306" customFormat="1" ht="40.5" hidden="1">
      <c r="A67" s="308" t="s">
        <v>263</v>
      </c>
      <c r="B67" s="353" t="s">
        <v>674</v>
      </c>
      <c r="C67" s="283" t="s">
        <v>797</v>
      </c>
      <c r="D67" s="284"/>
      <c r="E67" s="284"/>
      <c r="F67" s="284"/>
      <c r="G67" s="284"/>
      <c r="H67" s="284"/>
      <c r="I67" s="284"/>
      <c r="J67" s="366">
        <v>5</v>
      </c>
      <c r="K67" s="370">
        <f t="shared" si="6"/>
        <v>7.0921985815602856E-2</v>
      </c>
      <c r="L67" s="371">
        <v>1</v>
      </c>
      <c r="M67" s="371">
        <v>0</v>
      </c>
      <c r="N67" s="366">
        <f t="shared" si="2"/>
        <v>5</v>
      </c>
      <c r="O67" s="370">
        <f t="shared" si="3"/>
        <v>0</v>
      </c>
      <c r="P67" s="370">
        <f t="shared" si="4"/>
        <v>0</v>
      </c>
      <c r="Q67" s="366">
        <f t="shared" si="7"/>
        <v>5</v>
      </c>
      <c r="R67" s="370">
        <f t="shared" si="0"/>
        <v>0</v>
      </c>
      <c r="S67" s="366">
        <f t="shared" si="8"/>
        <v>0</v>
      </c>
      <c r="T67" s="366">
        <v>0</v>
      </c>
      <c r="U67" s="370">
        <f t="shared" si="5"/>
        <v>0</v>
      </c>
      <c r="V67" s="370"/>
      <c r="W67" s="372"/>
      <c r="X67" s="370"/>
      <c r="Y67" s="370"/>
      <c r="Z67" s="370"/>
      <c r="AA67" s="370"/>
      <c r="AB67" s="370"/>
      <c r="AC67" s="370"/>
      <c r="AD67" s="370"/>
      <c r="AE67" s="370"/>
      <c r="AF67" s="370"/>
      <c r="AG67" s="370"/>
      <c r="AH67" s="370"/>
      <c r="AI67" s="370"/>
      <c r="AJ67" s="366"/>
      <c r="AK67" s="366"/>
      <c r="AL67" s="360"/>
      <c r="AM67" s="305" t="s">
        <v>823</v>
      </c>
      <c r="AN67" s="305"/>
      <c r="AO67" s="305"/>
      <c r="AP67" s="305"/>
      <c r="AQ67" s="305"/>
      <c r="AR67" s="305"/>
      <c r="AS67" s="305"/>
      <c r="AT67" s="305"/>
      <c r="AU67" s="305"/>
      <c r="AV67" s="305"/>
    </row>
    <row r="68" spans="1:48" s="306" customFormat="1" ht="40.5" hidden="1">
      <c r="A68" s="308" t="s">
        <v>566</v>
      </c>
      <c r="B68" s="353" t="s">
        <v>675</v>
      </c>
      <c r="C68" s="283" t="s">
        <v>797</v>
      </c>
      <c r="D68" s="284"/>
      <c r="E68" s="284"/>
      <c r="F68" s="284"/>
      <c r="G68" s="284"/>
      <c r="H68" s="284"/>
      <c r="I68" s="284"/>
      <c r="J68" s="366">
        <v>0.5</v>
      </c>
      <c r="K68" s="370">
        <f t="shared" si="6"/>
        <v>7.0921985815602856E-2</v>
      </c>
      <c r="L68" s="371">
        <v>1</v>
      </c>
      <c r="M68" s="371">
        <v>0</v>
      </c>
      <c r="N68" s="366">
        <f t="shared" si="2"/>
        <v>0.5</v>
      </c>
      <c r="O68" s="370">
        <f t="shared" si="3"/>
        <v>0</v>
      </c>
      <c r="P68" s="370">
        <f t="shared" si="4"/>
        <v>0</v>
      </c>
      <c r="Q68" s="366">
        <f t="shared" si="7"/>
        <v>0.5</v>
      </c>
      <c r="R68" s="370">
        <f t="shared" si="0"/>
        <v>0</v>
      </c>
      <c r="S68" s="366">
        <f t="shared" si="8"/>
        <v>0</v>
      </c>
      <c r="T68" s="366">
        <v>0</v>
      </c>
      <c r="U68" s="370">
        <f t="shared" si="5"/>
        <v>0</v>
      </c>
      <c r="V68" s="370"/>
      <c r="W68" s="372"/>
      <c r="X68" s="370"/>
      <c r="Y68" s="370"/>
      <c r="Z68" s="370"/>
      <c r="AA68" s="370"/>
      <c r="AB68" s="370"/>
      <c r="AC68" s="370"/>
      <c r="AD68" s="370"/>
      <c r="AE68" s="370"/>
      <c r="AF68" s="370"/>
      <c r="AG68" s="370"/>
      <c r="AH68" s="370"/>
      <c r="AI68" s="370"/>
      <c r="AJ68" s="366"/>
      <c r="AK68" s="366"/>
      <c r="AL68" s="360"/>
      <c r="AM68" s="305" t="s">
        <v>823</v>
      </c>
      <c r="AN68" s="305"/>
      <c r="AO68" s="305"/>
      <c r="AP68" s="305"/>
      <c r="AQ68" s="305"/>
      <c r="AR68" s="305"/>
      <c r="AS68" s="305"/>
      <c r="AT68" s="305"/>
      <c r="AU68" s="305"/>
      <c r="AV68" s="305"/>
    </row>
    <row r="69" spans="1:48" s="306" customFormat="1" ht="60" hidden="1">
      <c r="A69" s="308" t="s">
        <v>271</v>
      </c>
      <c r="B69" s="353" t="s">
        <v>676</v>
      </c>
      <c r="C69" s="283" t="s">
        <v>797</v>
      </c>
      <c r="D69" s="284"/>
      <c r="E69" s="284"/>
      <c r="F69" s="284"/>
      <c r="G69" s="284"/>
      <c r="H69" s="284"/>
      <c r="I69" s="284"/>
      <c r="J69" s="366">
        <v>5</v>
      </c>
      <c r="K69" s="370">
        <f t="shared" si="6"/>
        <v>5.3191489361702136</v>
      </c>
      <c r="L69" s="371">
        <v>75</v>
      </c>
      <c r="M69" s="371">
        <v>0</v>
      </c>
      <c r="N69" s="366">
        <f t="shared" si="2"/>
        <v>5</v>
      </c>
      <c r="O69" s="370">
        <f t="shared" si="3"/>
        <v>0</v>
      </c>
      <c r="P69" s="370">
        <f t="shared" si="4"/>
        <v>0</v>
      </c>
      <c r="Q69" s="366">
        <f t="shared" si="7"/>
        <v>5</v>
      </c>
      <c r="R69" s="370">
        <f t="shared" si="0"/>
        <v>0</v>
      </c>
      <c r="S69" s="366">
        <f t="shared" si="8"/>
        <v>0</v>
      </c>
      <c r="T69" s="366">
        <v>0</v>
      </c>
      <c r="U69" s="370">
        <f t="shared" si="5"/>
        <v>0</v>
      </c>
      <c r="V69" s="370"/>
      <c r="W69" s="372"/>
      <c r="X69" s="370"/>
      <c r="Y69" s="370"/>
      <c r="Z69" s="370"/>
      <c r="AA69" s="370"/>
      <c r="AB69" s="370"/>
      <c r="AC69" s="370"/>
      <c r="AD69" s="370"/>
      <c r="AE69" s="370"/>
      <c r="AF69" s="370"/>
      <c r="AG69" s="370"/>
      <c r="AH69" s="370"/>
      <c r="AI69" s="370"/>
      <c r="AJ69" s="366"/>
      <c r="AK69" s="366"/>
      <c r="AL69" s="360"/>
      <c r="AM69" s="305" t="s">
        <v>823</v>
      </c>
      <c r="AN69" s="305"/>
      <c r="AO69" s="305"/>
      <c r="AP69" s="305"/>
      <c r="AQ69" s="305"/>
      <c r="AR69" s="305"/>
      <c r="AS69" s="305"/>
      <c r="AT69" s="305"/>
      <c r="AU69" s="305"/>
      <c r="AV69" s="305"/>
    </row>
    <row r="70" spans="1:48" s="306" customFormat="1" ht="58.5" hidden="1">
      <c r="A70" s="308" t="s">
        <v>273</v>
      </c>
      <c r="B70" s="354" t="s">
        <v>677</v>
      </c>
      <c r="C70" s="283" t="s">
        <v>797</v>
      </c>
      <c r="D70" s="284"/>
      <c r="E70" s="284"/>
      <c r="F70" s="284"/>
      <c r="G70" s="284"/>
      <c r="H70" s="284"/>
      <c r="I70" s="284"/>
      <c r="J70" s="366">
        <v>1.5</v>
      </c>
      <c r="K70" s="370">
        <f t="shared" si="6"/>
        <v>0.85106382978723427</v>
      </c>
      <c r="L70" s="371">
        <v>12</v>
      </c>
      <c r="M70" s="371">
        <v>0</v>
      </c>
      <c r="N70" s="366">
        <f t="shared" si="2"/>
        <v>1.5</v>
      </c>
      <c r="O70" s="370">
        <f t="shared" si="3"/>
        <v>0</v>
      </c>
      <c r="P70" s="370">
        <f t="shared" si="4"/>
        <v>0</v>
      </c>
      <c r="Q70" s="366">
        <f t="shared" si="7"/>
        <v>1.5</v>
      </c>
      <c r="R70" s="370">
        <f t="shared" si="0"/>
        <v>0</v>
      </c>
      <c r="S70" s="366">
        <f t="shared" si="8"/>
        <v>0</v>
      </c>
      <c r="T70" s="366">
        <v>0</v>
      </c>
      <c r="U70" s="370">
        <f t="shared" si="5"/>
        <v>0</v>
      </c>
      <c r="V70" s="370"/>
      <c r="W70" s="372"/>
      <c r="X70" s="370"/>
      <c r="Y70" s="370"/>
      <c r="Z70" s="370"/>
      <c r="AA70" s="370"/>
      <c r="AB70" s="370"/>
      <c r="AC70" s="370"/>
      <c r="AD70" s="370"/>
      <c r="AE70" s="370"/>
      <c r="AF70" s="370"/>
      <c r="AG70" s="370"/>
      <c r="AH70" s="370"/>
      <c r="AI70" s="370"/>
      <c r="AJ70" s="366"/>
      <c r="AK70" s="366"/>
      <c r="AL70" s="360"/>
      <c r="AM70" s="305" t="s">
        <v>823</v>
      </c>
      <c r="AN70" s="305"/>
      <c r="AO70" s="305"/>
      <c r="AP70" s="305"/>
      <c r="AQ70" s="305"/>
      <c r="AR70" s="305"/>
      <c r="AS70" s="305"/>
      <c r="AT70" s="305"/>
      <c r="AU70" s="305"/>
      <c r="AV70" s="305"/>
    </row>
    <row r="71" spans="1:48" s="306" customFormat="1" ht="60" hidden="1">
      <c r="A71" s="308" t="s">
        <v>678</v>
      </c>
      <c r="B71" s="353" t="s">
        <v>679</v>
      </c>
      <c r="C71" s="283" t="s">
        <v>797</v>
      </c>
      <c r="D71" s="284"/>
      <c r="E71" s="284"/>
      <c r="F71" s="284"/>
      <c r="G71" s="284"/>
      <c r="H71" s="284"/>
      <c r="I71" s="284"/>
      <c r="J71" s="366">
        <v>1</v>
      </c>
      <c r="K71" s="370">
        <f t="shared" si="6"/>
        <v>7.0921985815602856E-2</v>
      </c>
      <c r="L71" s="371">
        <v>1</v>
      </c>
      <c r="M71" s="371">
        <v>0</v>
      </c>
      <c r="N71" s="366">
        <f t="shared" si="2"/>
        <v>1</v>
      </c>
      <c r="O71" s="370">
        <f t="shared" si="3"/>
        <v>0</v>
      </c>
      <c r="P71" s="370">
        <f t="shared" si="4"/>
        <v>0</v>
      </c>
      <c r="Q71" s="366">
        <f t="shared" si="7"/>
        <v>1</v>
      </c>
      <c r="R71" s="370">
        <f t="shared" si="0"/>
        <v>0</v>
      </c>
      <c r="S71" s="366">
        <f t="shared" si="8"/>
        <v>0</v>
      </c>
      <c r="T71" s="366">
        <v>0</v>
      </c>
      <c r="U71" s="370">
        <f t="shared" si="5"/>
        <v>0</v>
      </c>
      <c r="V71" s="370"/>
      <c r="W71" s="372"/>
      <c r="X71" s="370"/>
      <c r="Y71" s="370"/>
      <c r="Z71" s="370"/>
      <c r="AA71" s="370"/>
      <c r="AB71" s="370"/>
      <c r="AC71" s="370"/>
      <c r="AD71" s="370"/>
      <c r="AE71" s="370"/>
      <c r="AF71" s="370"/>
      <c r="AG71" s="370"/>
      <c r="AH71" s="370"/>
      <c r="AI71" s="370"/>
      <c r="AJ71" s="366"/>
      <c r="AK71" s="366"/>
      <c r="AL71" s="360"/>
      <c r="AM71" s="305" t="s">
        <v>823</v>
      </c>
      <c r="AN71" s="305"/>
      <c r="AO71" s="305"/>
      <c r="AP71" s="305"/>
      <c r="AQ71" s="305"/>
      <c r="AR71" s="305"/>
      <c r="AS71" s="305"/>
      <c r="AT71" s="305"/>
      <c r="AU71" s="305"/>
      <c r="AV71" s="305"/>
    </row>
    <row r="72" spans="1:48" s="306" customFormat="1" ht="60" hidden="1">
      <c r="A72" s="308" t="s">
        <v>277</v>
      </c>
      <c r="B72" s="353" t="s">
        <v>680</v>
      </c>
      <c r="C72" s="283" t="s">
        <v>797</v>
      </c>
      <c r="D72" s="284"/>
      <c r="E72" s="284"/>
      <c r="F72" s="284"/>
      <c r="G72" s="284"/>
      <c r="H72" s="284"/>
      <c r="I72" s="284"/>
      <c r="J72" s="366">
        <v>5</v>
      </c>
      <c r="K72" s="370">
        <f t="shared" si="6"/>
        <v>7.0921985815602856E-2</v>
      </c>
      <c r="L72" s="371">
        <v>1</v>
      </c>
      <c r="M72" s="371">
        <v>0</v>
      </c>
      <c r="N72" s="366">
        <f t="shared" si="2"/>
        <v>5</v>
      </c>
      <c r="O72" s="370">
        <f t="shared" si="3"/>
        <v>0</v>
      </c>
      <c r="P72" s="370">
        <f t="shared" si="4"/>
        <v>0</v>
      </c>
      <c r="Q72" s="366">
        <f t="shared" si="7"/>
        <v>5</v>
      </c>
      <c r="R72" s="370">
        <f t="shared" si="0"/>
        <v>0</v>
      </c>
      <c r="S72" s="366">
        <f t="shared" si="8"/>
        <v>0</v>
      </c>
      <c r="T72" s="366">
        <v>0</v>
      </c>
      <c r="U72" s="370">
        <f t="shared" si="5"/>
        <v>0</v>
      </c>
      <c r="V72" s="370"/>
      <c r="W72" s="372"/>
      <c r="X72" s="370"/>
      <c r="Y72" s="370"/>
      <c r="Z72" s="370"/>
      <c r="AA72" s="370"/>
      <c r="AB72" s="370"/>
      <c r="AC72" s="370"/>
      <c r="AD72" s="370"/>
      <c r="AE72" s="370"/>
      <c r="AF72" s="370"/>
      <c r="AG72" s="370"/>
      <c r="AH72" s="370"/>
      <c r="AI72" s="370"/>
      <c r="AJ72" s="366"/>
      <c r="AK72" s="366"/>
      <c r="AL72" s="360"/>
      <c r="AM72" s="305" t="s">
        <v>823</v>
      </c>
      <c r="AN72" s="305"/>
      <c r="AO72" s="305"/>
      <c r="AP72" s="305"/>
      <c r="AQ72" s="305"/>
      <c r="AR72" s="305"/>
      <c r="AS72" s="305"/>
      <c r="AT72" s="305"/>
      <c r="AU72" s="305"/>
      <c r="AV72" s="305"/>
    </row>
    <row r="73" spans="1:48" s="306" customFormat="1" ht="34.9" hidden="1" customHeight="1">
      <c r="A73" s="308" t="s">
        <v>279</v>
      </c>
      <c r="B73" s="364" t="s">
        <v>681</v>
      </c>
      <c r="C73" s="283" t="s">
        <v>797</v>
      </c>
      <c r="D73" s="284"/>
      <c r="E73" s="284"/>
      <c r="F73" s="284"/>
      <c r="G73" s="284"/>
      <c r="H73" s="284"/>
      <c r="I73" s="284"/>
      <c r="J73" s="366">
        <v>24.75</v>
      </c>
      <c r="K73" s="370">
        <f t="shared" si="6"/>
        <v>3.5460992907801421</v>
      </c>
      <c r="L73" s="371">
        <v>50</v>
      </c>
      <c r="M73" s="371">
        <v>25</v>
      </c>
      <c r="N73" s="366">
        <f t="shared" si="2"/>
        <v>24.75</v>
      </c>
      <c r="O73" s="370">
        <f t="shared" si="3"/>
        <v>3.5460992907801421</v>
      </c>
      <c r="P73" s="370">
        <f t="shared" si="4"/>
        <v>25</v>
      </c>
      <c r="Q73" s="366">
        <f t="shared" si="7"/>
        <v>24.75</v>
      </c>
      <c r="R73" s="370">
        <f t="shared" si="0"/>
        <v>3.5460992907801421</v>
      </c>
      <c r="S73" s="366">
        <f t="shared" si="8"/>
        <v>100</v>
      </c>
      <c r="T73" s="366">
        <v>25</v>
      </c>
      <c r="U73" s="370">
        <f t="shared" si="5"/>
        <v>100</v>
      </c>
      <c r="V73" s="370"/>
      <c r="W73" s="372"/>
      <c r="X73" s="370"/>
      <c r="Y73" s="370"/>
      <c r="Z73" s="370"/>
      <c r="AA73" s="370"/>
      <c r="AB73" s="370"/>
      <c r="AC73" s="370"/>
      <c r="AD73" s="370"/>
      <c r="AE73" s="370"/>
      <c r="AF73" s="370"/>
      <c r="AG73" s="370"/>
      <c r="AH73" s="370"/>
      <c r="AI73" s="370"/>
      <c r="AJ73" s="366"/>
      <c r="AK73" s="366"/>
      <c r="AL73" s="360"/>
      <c r="AM73" s="305" t="s">
        <v>823</v>
      </c>
      <c r="AN73" s="305"/>
      <c r="AO73" s="305"/>
      <c r="AP73" s="305"/>
      <c r="AQ73" s="305"/>
      <c r="AR73" s="305"/>
      <c r="AS73" s="305"/>
      <c r="AT73" s="305"/>
      <c r="AU73" s="305"/>
      <c r="AV73" s="305"/>
    </row>
    <row r="74" spans="1:48" s="306" customFormat="1" ht="58.5" hidden="1">
      <c r="A74" s="308" t="s">
        <v>281</v>
      </c>
      <c r="B74" s="354" t="s">
        <v>807</v>
      </c>
      <c r="C74" s="283" t="s">
        <v>797</v>
      </c>
      <c r="D74" s="284"/>
      <c r="E74" s="284"/>
      <c r="F74" s="284"/>
      <c r="G74" s="284"/>
      <c r="H74" s="284"/>
      <c r="I74" s="284"/>
      <c r="J74" s="366">
        <v>3</v>
      </c>
      <c r="K74" s="370">
        <f t="shared" si="6"/>
        <v>0.85106382978723427</v>
      </c>
      <c r="L74" s="371">
        <v>12</v>
      </c>
      <c r="M74" s="371">
        <v>6</v>
      </c>
      <c r="N74" s="366">
        <f t="shared" si="2"/>
        <v>3</v>
      </c>
      <c r="O74" s="370">
        <f t="shared" si="3"/>
        <v>0.85106382978723427</v>
      </c>
      <c r="P74" s="370">
        <f t="shared" si="4"/>
        <v>6</v>
      </c>
      <c r="Q74" s="366">
        <f t="shared" si="7"/>
        <v>3</v>
      </c>
      <c r="R74" s="370">
        <f t="shared" si="0"/>
        <v>0.85106382978723427</v>
      </c>
      <c r="S74" s="366">
        <f t="shared" si="8"/>
        <v>100</v>
      </c>
      <c r="T74" s="366">
        <v>5.74</v>
      </c>
      <c r="U74" s="370">
        <f t="shared" si="5"/>
        <v>95.666666666666671</v>
      </c>
      <c r="V74" s="370"/>
      <c r="W74" s="372"/>
      <c r="X74" s="370"/>
      <c r="Y74" s="370"/>
      <c r="Z74" s="370"/>
      <c r="AA74" s="370"/>
      <c r="AB74" s="370"/>
      <c r="AC74" s="370"/>
      <c r="AD74" s="370"/>
      <c r="AE74" s="370"/>
      <c r="AF74" s="370"/>
      <c r="AG74" s="370"/>
      <c r="AH74" s="370"/>
      <c r="AI74" s="370"/>
      <c r="AJ74" s="366"/>
      <c r="AK74" s="366"/>
      <c r="AL74" s="360"/>
      <c r="AM74" s="305" t="s">
        <v>823</v>
      </c>
      <c r="AN74" s="305"/>
      <c r="AO74" s="305"/>
      <c r="AP74" s="305"/>
      <c r="AQ74" s="305"/>
      <c r="AR74" s="305"/>
      <c r="AS74" s="305"/>
      <c r="AT74" s="305"/>
      <c r="AU74" s="305"/>
      <c r="AV74" s="305"/>
    </row>
    <row r="75" spans="1:48" s="306" customFormat="1" ht="39" hidden="1">
      <c r="A75" s="308" t="s">
        <v>285</v>
      </c>
      <c r="B75" s="354" t="s">
        <v>683</v>
      </c>
      <c r="C75" s="283" t="s">
        <v>797</v>
      </c>
      <c r="D75" s="284"/>
      <c r="E75" s="284"/>
      <c r="F75" s="284"/>
      <c r="G75" s="284"/>
      <c r="H75" s="284"/>
      <c r="I75" s="284"/>
      <c r="J75" s="366">
        <v>2</v>
      </c>
      <c r="K75" s="370">
        <f t="shared" si="6"/>
        <v>0.35460992907801425</v>
      </c>
      <c r="L75" s="371">
        <v>5</v>
      </c>
      <c r="M75" s="371">
        <v>2.5</v>
      </c>
      <c r="N75" s="366">
        <f t="shared" si="2"/>
        <v>2</v>
      </c>
      <c r="O75" s="370">
        <f t="shared" si="3"/>
        <v>0.35460992907801425</v>
      </c>
      <c r="P75" s="370">
        <f t="shared" si="4"/>
        <v>2.5</v>
      </c>
      <c r="Q75" s="366">
        <f t="shared" si="7"/>
        <v>2</v>
      </c>
      <c r="R75" s="370">
        <f t="shared" si="0"/>
        <v>0.35460992907801425</v>
      </c>
      <c r="S75" s="366">
        <f t="shared" si="8"/>
        <v>100</v>
      </c>
      <c r="T75" s="366">
        <v>2.48</v>
      </c>
      <c r="U75" s="370">
        <f t="shared" si="5"/>
        <v>99.2</v>
      </c>
      <c r="V75" s="370"/>
      <c r="W75" s="372"/>
      <c r="X75" s="370"/>
      <c r="Y75" s="370"/>
      <c r="Z75" s="370"/>
      <c r="AA75" s="370"/>
      <c r="AB75" s="370"/>
      <c r="AC75" s="370"/>
      <c r="AD75" s="370"/>
      <c r="AE75" s="370"/>
      <c r="AF75" s="370"/>
      <c r="AG75" s="370"/>
      <c r="AH75" s="370"/>
      <c r="AI75" s="370"/>
      <c r="AJ75" s="366"/>
      <c r="AK75" s="366"/>
      <c r="AL75" s="360"/>
      <c r="AM75" s="305" t="s">
        <v>823</v>
      </c>
      <c r="AN75" s="305"/>
      <c r="AO75" s="305"/>
      <c r="AP75" s="305"/>
      <c r="AQ75" s="305"/>
      <c r="AR75" s="305"/>
      <c r="AS75" s="305"/>
      <c r="AT75" s="305"/>
      <c r="AU75" s="305"/>
      <c r="AV75" s="305"/>
    </row>
    <row r="76" spans="1:48" s="306" customFormat="1" ht="40.5" hidden="1">
      <c r="A76" s="308" t="s">
        <v>287</v>
      </c>
      <c r="B76" s="353" t="s">
        <v>684</v>
      </c>
      <c r="C76" s="283" t="s">
        <v>797</v>
      </c>
      <c r="D76" s="284"/>
      <c r="E76" s="284"/>
      <c r="F76" s="284"/>
      <c r="G76" s="284"/>
      <c r="H76" s="284"/>
      <c r="I76" s="284"/>
      <c r="J76" s="366">
        <v>3</v>
      </c>
      <c r="K76" s="370">
        <f t="shared" si="6"/>
        <v>0.31914893617021284</v>
      </c>
      <c r="L76" s="371">
        <v>4.5</v>
      </c>
      <c r="M76" s="371">
        <v>0</v>
      </c>
      <c r="N76" s="366">
        <f t="shared" si="2"/>
        <v>3</v>
      </c>
      <c r="O76" s="370">
        <f t="shared" si="3"/>
        <v>0</v>
      </c>
      <c r="P76" s="370">
        <f t="shared" si="4"/>
        <v>0</v>
      </c>
      <c r="Q76" s="366">
        <f t="shared" si="7"/>
        <v>3</v>
      </c>
      <c r="R76" s="370">
        <f t="shared" si="0"/>
        <v>0</v>
      </c>
      <c r="S76" s="366">
        <f t="shared" si="8"/>
        <v>0</v>
      </c>
      <c r="T76" s="366">
        <v>0</v>
      </c>
      <c r="U76" s="370">
        <f t="shared" si="5"/>
        <v>0</v>
      </c>
      <c r="V76" s="370"/>
      <c r="W76" s="372"/>
      <c r="X76" s="370"/>
      <c r="Y76" s="370"/>
      <c r="Z76" s="370"/>
      <c r="AA76" s="370"/>
      <c r="AB76" s="370"/>
      <c r="AC76" s="370"/>
      <c r="AD76" s="370"/>
      <c r="AE76" s="370"/>
      <c r="AF76" s="370"/>
      <c r="AG76" s="370"/>
      <c r="AH76" s="370"/>
      <c r="AI76" s="370"/>
      <c r="AJ76" s="366"/>
      <c r="AK76" s="366"/>
      <c r="AL76" s="360"/>
      <c r="AM76" s="305" t="s">
        <v>823</v>
      </c>
      <c r="AN76" s="305"/>
      <c r="AO76" s="305"/>
      <c r="AP76" s="305"/>
      <c r="AQ76" s="305"/>
      <c r="AR76" s="305"/>
      <c r="AS76" s="305"/>
      <c r="AT76" s="305"/>
      <c r="AU76" s="305"/>
      <c r="AV76" s="305"/>
    </row>
    <row r="77" spans="1:48" s="306" customFormat="1" ht="58.5" hidden="1">
      <c r="A77" s="308" t="s">
        <v>289</v>
      </c>
      <c r="B77" s="355" t="s">
        <v>685</v>
      </c>
      <c r="C77" s="283" t="s">
        <v>797</v>
      </c>
      <c r="D77" s="284"/>
      <c r="E77" s="284"/>
      <c r="F77" s="284"/>
      <c r="G77" s="284"/>
      <c r="H77" s="284"/>
      <c r="I77" s="284"/>
      <c r="J77" s="366">
        <v>3</v>
      </c>
      <c r="K77" s="370">
        <f t="shared" si="6"/>
        <v>0.31914893617021284</v>
      </c>
      <c r="L77" s="371">
        <v>4.5</v>
      </c>
      <c r="M77" s="371">
        <v>4.5</v>
      </c>
      <c r="N77" s="366">
        <f t="shared" si="2"/>
        <v>3</v>
      </c>
      <c r="O77" s="370">
        <f t="shared" si="3"/>
        <v>0.63829787234042568</v>
      </c>
      <c r="P77" s="370">
        <f t="shared" si="4"/>
        <v>4.5</v>
      </c>
      <c r="Q77" s="366">
        <f t="shared" si="7"/>
        <v>3</v>
      </c>
      <c r="R77" s="370">
        <f t="shared" si="0"/>
        <v>0.63829787234042568</v>
      </c>
      <c r="S77" s="366">
        <f t="shared" si="8"/>
        <v>100</v>
      </c>
      <c r="T77" s="366">
        <v>4.4800000000000004</v>
      </c>
      <c r="U77" s="370">
        <f t="shared" si="5"/>
        <v>99.555555555555557</v>
      </c>
      <c r="V77" s="370"/>
      <c r="W77" s="372"/>
      <c r="X77" s="370"/>
      <c r="Y77" s="370"/>
      <c r="Z77" s="370"/>
      <c r="AA77" s="370"/>
      <c r="AB77" s="370"/>
      <c r="AC77" s="370"/>
      <c r="AD77" s="370"/>
      <c r="AE77" s="370"/>
      <c r="AF77" s="370"/>
      <c r="AG77" s="370"/>
      <c r="AH77" s="370"/>
      <c r="AI77" s="370"/>
      <c r="AJ77" s="366"/>
      <c r="AK77" s="366"/>
      <c r="AL77" s="360"/>
      <c r="AM77" s="305" t="s">
        <v>823</v>
      </c>
      <c r="AN77" s="305"/>
      <c r="AO77" s="305"/>
      <c r="AP77" s="305"/>
      <c r="AQ77" s="305"/>
      <c r="AR77" s="305"/>
      <c r="AS77" s="305"/>
      <c r="AT77" s="305"/>
      <c r="AU77" s="305"/>
      <c r="AV77" s="305"/>
    </row>
    <row r="78" spans="1:48" s="306" customFormat="1" ht="33.6" hidden="1" customHeight="1">
      <c r="A78" s="308" t="s">
        <v>598</v>
      </c>
      <c r="B78" s="365" t="s">
        <v>686</v>
      </c>
      <c r="C78" s="340" t="s">
        <v>794</v>
      </c>
      <c r="D78" s="284"/>
      <c r="E78" s="284"/>
      <c r="F78" s="284"/>
      <c r="G78" s="284"/>
      <c r="H78" s="284"/>
      <c r="I78" s="284"/>
      <c r="J78" s="366">
        <v>3.6</v>
      </c>
      <c r="K78" s="370">
        <f t="shared" si="6"/>
        <v>0.7092198581560285</v>
      </c>
      <c r="L78" s="371">
        <v>10</v>
      </c>
      <c r="M78" s="371">
        <v>9.5</v>
      </c>
      <c r="N78" s="366">
        <f t="shared" si="2"/>
        <v>3.6</v>
      </c>
      <c r="O78" s="370">
        <f t="shared" si="3"/>
        <v>1.3475177304964541</v>
      </c>
      <c r="P78" s="370">
        <f t="shared" si="4"/>
        <v>9.5</v>
      </c>
      <c r="Q78" s="366">
        <f t="shared" si="7"/>
        <v>3.6</v>
      </c>
      <c r="R78" s="370">
        <f t="shared" si="0"/>
        <v>1.3475177304964541</v>
      </c>
      <c r="S78" s="366">
        <f t="shared" si="8"/>
        <v>100</v>
      </c>
      <c r="T78" s="366">
        <v>9.4499999999999993</v>
      </c>
      <c r="U78" s="370">
        <f t="shared" si="5"/>
        <v>99.473684210526301</v>
      </c>
      <c r="V78" s="370"/>
      <c r="W78" s="372"/>
      <c r="X78" s="370"/>
      <c r="Y78" s="370"/>
      <c r="Z78" s="370"/>
      <c r="AA78" s="370"/>
      <c r="AB78" s="370"/>
      <c r="AC78" s="370"/>
      <c r="AD78" s="370"/>
      <c r="AE78" s="370"/>
      <c r="AF78" s="370"/>
      <c r="AG78" s="370"/>
      <c r="AH78" s="370"/>
      <c r="AI78" s="370"/>
      <c r="AJ78" s="366"/>
      <c r="AK78" s="366"/>
      <c r="AL78" s="360"/>
      <c r="AM78" s="305" t="s">
        <v>823</v>
      </c>
      <c r="AN78" s="305"/>
      <c r="AO78" s="305"/>
      <c r="AP78" s="305"/>
      <c r="AQ78" s="305"/>
      <c r="AR78" s="305"/>
      <c r="AS78" s="305"/>
      <c r="AT78" s="305"/>
      <c r="AU78" s="305"/>
      <c r="AV78" s="305"/>
    </row>
    <row r="79" spans="1:48" s="306" customFormat="1" ht="40.5" hidden="1">
      <c r="A79" s="308" t="s">
        <v>291</v>
      </c>
      <c r="B79" s="353" t="s">
        <v>687</v>
      </c>
      <c r="C79" s="341" t="s">
        <v>797</v>
      </c>
      <c r="D79" s="284"/>
      <c r="E79" s="284"/>
      <c r="F79" s="284"/>
      <c r="G79" s="284"/>
      <c r="H79" s="284"/>
      <c r="I79" s="284"/>
      <c r="J79" s="366">
        <v>5</v>
      </c>
      <c r="K79" s="370">
        <f t="shared" si="6"/>
        <v>0.35460992907801425</v>
      </c>
      <c r="L79" s="371">
        <v>5</v>
      </c>
      <c r="M79" s="371">
        <v>0</v>
      </c>
      <c r="N79" s="366">
        <f t="shared" si="2"/>
        <v>5</v>
      </c>
      <c r="O79" s="370">
        <f t="shared" si="3"/>
        <v>0</v>
      </c>
      <c r="P79" s="370">
        <f t="shared" si="4"/>
        <v>0</v>
      </c>
      <c r="Q79" s="366">
        <f t="shared" si="7"/>
        <v>5</v>
      </c>
      <c r="R79" s="370">
        <f t="shared" si="0"/>
        <v>0</v>
      </c>
      <c r="S79" s="366">
        <f t="shared" si="8"/>
        <v>0</v>
      </c>
      <c r="T79" s="366">
        <v>0</v>
      </c>
      <c r="U79" s="370">
        <f t="shared" si="5"/>
        <v>0</v>
      </c>
      <c r="V79" s="370"/>
      <c r="W79" s="372"/>
      <c r="X79" s="370"/>
      <c r="Y79" s="370"/>
      <c r="Z79" s="370"/>
      <c r="AA79" s="370"/>
      <c r="AB79" s="370"/>
      <c r="AC79" s="370"/>
      <c r="AD79" s="370"/>
      <c r="AE79" s="370"/>
      <c r="AF79" s="370"/>
      <c r="AG79" s="370"/>
      <c r="AH79" s="370"/>
      <c r="AI79" s="370"/>
      <c r="AJ79" s="366"/>
      <c r="AK79" s="366"/>
      <c r="AL79" s="360"/>
      <c r="AM79" s="305" t="s">
        <v>823</v>
      </c>
      <c r="AN79" s="305"/>
      <c r="AO79" s="305"/>
      <c r="AP79" s="305"/>
      <c r="AQ79" s="305"/>
      <c r="AR79" s="305"/>
      <c r="AS79" s="305"/>
      <c r="AT79" s="305"/>
      <c r="AU79" s="305"/>
      <c r="AV79" s="305"/>
    </row>
    <row r="80" spans="1:48" s="306" customFormat="1" ht="40.5" hidden="1">
      <c r="A80" s="308" t="s">
        <v>293</v>
      </c>
      <c r="B80" s="353" t="s">
        <v>688</v>
      </c>
      <c r="C80" s="341" t="s">
        <v>797</v>
      </c>
      <c r="D80" s="284"/>
      <c r="E80" s="284"/>
      <c r="F80" s="284"/>
      <c r="G80" s="284"/>
      <c r="H80" s="284"/>
      <c r="I80" s="284"/>
      <c r="J80" s="366">
        <v>3</v>
      </c>
      <c r="K80" s="370">
        <f t="shared" si="6"/>
        <v>0.31914893617021284</v>
      </c>
      <c r="L80" s="371">
        <v>4.5</v>
      </c>
      <c r="M80" s="371">
        <v>0</v>
      </c>
      <c r="N80" s="366">
        <f t="shared" si="2"/>
        <v>3</v>
      </c>
      <c r="O80" s="370">
        <f t="shared" si="3"/>
        <v>0</v>
      </c>
      <c r="P80" s="370">
        <f t="shared" si="4"/>
        <v>0</v>
      </c>
      <c r="Q80" s="366">
        <f t="shared" si="7"/>
        <v>3</v>
      </c>
      <c r="R80" s="370">
        <f t="shared" si="0"/>
        <v>0</v>
      </c>
      <c r="S80" s="366">
        <f t="shared" si="8"/>
        <v>0</v>
      </c>
      <c r="T80" s="366">
        <v>0</v>
      </c>
      <c r="U80" s="370">
        <f t="shared" si="5"/>
        <v>0</v>
      </c>
      <c r="V80" s="370"/>
      <c r="W80" s="372"/>
      <c r="X80" s="370"/>
      <c r="Y80" s="370"/>
      <c r="Z80" s="370"/>
      <c r="AA80" s="370"/>
      <c r="AB80" s="370"/>
      <c r="AC80" s="370"/>
      <c r="AD80" s="370"/>
      <c r="AE80" s="370"/>
      <c r="AF80" s="370"/>
      <c r="AG80" s="370"/>
      <c r="AH80" s="370"/>
      <c r="AI80" s="370"/>
      <c r="AJ80" s="366"/>
      <c r="AK80" s="366"/>
      <c r="AL80" s="360"/>
      <c r="AM80" s="305" t="s">
        <v>823</v>
      </c>
      <c r="AN80" s="305"/>
      <c r="AO80" s="305"/>
      <c r="AP80" s="305"/>
      <c r="AQ80" s="305"/>
      <c r="AR80" s="305"/>
      <c r="AS80" s="305"/>
      <c r="AT80" s="305"/>
      <c r="AU80" s="305"/>
      <c r="AV80" s="305"/>
    </row>
    <row r="81" spans="1:48" s="306" customFormat="1" ht="40.5" hidden="1">
      <c r="A81" s="308" t="s">
        <v>297</v>
      </c>
      <c r="B81" s="353" t="s">
        <v>689</v>
      </c>
      <c r="C81" s="341" t="s">
        <v>797</v>
      </c>
      <c r="D81" s="284"/>
      <c r="E81" s="284"/>
      <c r="F81" s="284"/>
      <c r="G81" s="284"/>
      <c r="H81" s="284"/>
      <c r="I81" s="284"/>
      <c r="J81" s="366">
        <v>7.5</v>
      </c>
      <c r="K81" s="370">
        <f t="shared" si="6"/>
        <v>1.0638297872340428</v>
      </c>
      <c r="L81" s="371">
        <v>15</v>
      </c>
      <c r="M81" s="371">
        <v>0</v>
      </c>
      <c r="N81" s="366">
        <f t="shared" si="2"/>
        <v>7.5</v>
      </c>
      <c r="O81" s="370">
        <f t="shared" si="3"/>
        <v>0</v>
      </c>
      <c r="P81" s="370">
        <f t="shared" si="4"/>
        <v>0</v>
      </c>
      <c r="Q81" s="366">
        <f t="shared" si="7"/>
        <v>7.5</v>
      </c>
      <c r="R81" s="370">
        <f t="shared" si="0"/>
        <v>0</v>
      </c>
      <c r="S81" s="366">
        <f t="shared" si="8"/>
        <v>0</v>
      </c>
      <c r="T81" s="366">
        <v>0</v>
      </c>
      <c r="U81" s="370">
        <f t="shared" si="5"/>
        <v>0</v>
      </c>
      <c r="V81" s="370"/>
      <c r="W81" s="372"/>
      <c r="X81" s="370"/>
      <c r="Y81" s="370"/>
      <c r="Z81" s="370"/>
      <c r="AA81" s="370"/>
      <c r="AB81" s="370"/>
      <c r="AC81" s="370"/>
      <c r="AD81" s="370"/>
      <c r="AE81" s="370"/>
      <c r="AF81" s="370"/>
      <c r="AG81" s="370"/>
      <c r="AH81" s="370"/>
      <c r="AI81" s="370"/>
      <c r="AJ81" s="366"/>
      <c r="AK81" s="366"/>
      <c r="AL81" s="360"/>
      <c r="AM81" s="305" t="s">
        <v>823</v>
      </c>
      <c r="AN81" s="305"/>
      <c r="AO81" s="305"/>
      <c r="AP81" s="305"/>
      <c r="AQ81" s="305"/>
      <c r="AR81" s="305"/>
      <c r="AS81" s="305"/>
      <c r="AT81" s="305"/>
      <c r="AU81" s="305"/>
      <c r="AV81" s="305"/>
    </row>
    <row r="82" spans="1:48" s="306" customFormat="1" ht="40.5" hidden="1">
      <c r="A82" s="308" t="s">
        <v>299</v>
      </c>
      <c r="B82" s="353" t="s">
        <v>690</v>
      </c>
      <c r="C82" s="341" t="s">
        <v>797</v>
      </c>
      <c r="D82" s="284"/>
      <c r="E82" s="284"/>
      <c r="F82" s="284"/>
      <c r="G82" s="284"/>
      <c r="H82" s="284"/>
      <c r="I82" s="284"/>
      <c r="J82" s="366">
        <v>1</v>
      </c>
      <c r="K82" s="370">
        <f t="shared" si="6"/>
        <v>0.14184397163120571</v>
      </c>
      <c r="L82" s="371">
        <v>2</v>
      </c>
      <c r="M82" s="371">
        <v>0</v>
      </c>
      <c r="N82" s="366">
        <f t="shared" si="2"/>
        <v>1</v>
      </c>
      <c r="O82" s="370">
        <f t="shared" si="3"/>
        <v>0</v>
      </c>
      <c r="P82" s="370">
        <f t="shared" si="4"/>
        <v>0</v>
      </c>
      <c r="Q82" s="366">
        <f t="shared" si="7"/>
        <v>1</v>
      </c>
      <c r="R82" s="370">
        <f t="shared" si="0"/>
        <v>0</v>
      </c>
      <c r="S82" s="366">
        <f t="shared" si="8"/>
        <v>0</v>
      </c>
      <c r="T82" s="366">
        <v>0</v>
      </c>
      <c r="U82" s="370">
        <f t="shared" si="5"/>
        <v>0</v>
      </c>
      <c r="V82" s="370"/>
      <c r="W82" s="372"/>
      <c r="X82" s="370"/>
      <c r="Y82" s="370"/>
      <c r="Z82" s="370"/>
      <c r="AA82" s="370"/>
      <c r="AB82" s="370"/>
      <c r="AC82" s="370"/>
      <c r="AD82" s="370"/>
      <c r="AE82" s="370"/>
      <c r="AF82" s="370"/>
      <c r="AG82" s="370"/>
      <c r="AH82" s="370"/>
      <c r="AI82" s="370"/>
      <c r="AJ82" s="366"/>
      <c r="AK82" s="366"/>
      <c r="AL82" s="360"/>
      <c r="AM82" s="305" t="s">
        <v>823</v>
      </c>
      <c r="AN82" s="305"/>
      <c r="AO82" s="305"/>
      <c r="AP82" s="305"/>
      <c r="AQ82" s="305"/>
      <c r="AR82" s="305"/>
      <c r="AS82" s="305"/>
      <c r="AT82" s="305"/>
      <c r="AU82" s="305"/>
      <c r="AV82" s="305"/>
    </row>
    <row r="83" spans="1:48" s="306" customFormat="1" ht="39" hidden="1">
      <c r="A83" s="308" t="s">
        <v>301</v>
      </c>
      <c r="B83" s="304" t="s">
        <v>691</v>
      </c>
      <c r="C83" s="341" t="s">
        <v>797</v>
      </c>
      <c r="D83" s="284"/>
      <c r="E83" s="284"/>
      <c r="F83" s="284"/>
      <c r="G83" s="284"/>
      <c r="H83" s="284"/>
      <c r="I83" s="284"/>
      <c r="J83" s="366">
        <v>1</v>
      </c>
      <c r="K83" s="370">
        <f t="shared" si="6"/>
        <v>2.1276595744680855</v>
      </c>
      <c r="L83" s="371">
        <v>30</v>
      </c>
      <c r="M83" s="371">
        <v>0</v>
      </c>
      <c r="N83" s="366">
        <f t="shared" si="2"/>
        <v>1</v>
      </c>
      <c r="O83" s="370">
        <f t="shared" si="3"/>
        <v>0</v>
      </c>
      <c r="P83" s="370">
        <f t="shared" si="4"/>
        <v>0</v>
      </c>
      <c r="Q83" s="366">
        <f t="shared" si="7"/>
        <v>1</v>
      </c>
      <c r="R83" s="370">
        <f t="shared" si="0"/>
        <v>0</v>
      </c>
      <c r="S83" s="366">
        <f t="shared" si="8"/>
        <v>0</v>
      </c>
      <c r="T83" s="366">
        <v>0</v>
      </c>
      <c r="U83" s="370">
        <f t="shared" si="5"/>
        <v>0</v>
      </c>
      <c r="V83" s="370"/>
      <c r="W83" s="372"/>
      <c r="X83" s="370"/>
      <c r="Y83" s="370"/>
      <c r="Z83" s="370"/>
      <c r="AA83" s="370"/>
      <c r="AB83" s="370"/>
      <c r="AC83" s="370"/>
      <c r="AD83" s="370"/>
      <c r="AE83" s="370"/>
      <c r="AF83" s="370"/>
      <c r="AG83" s="370"/>
      <c r="AH83" s="370"/>
      <c r="AI83" s="370"/>
      <c r="AJ83" s="366"/>
      <c r="AK83" s="366"/>
      <c r="AL83" s="360"/>
      <c r="AM83" s="305" t="s">
        <v>823</v>
      </c>
      <c r="AN83" s="305"/>
      <c r="AO83" s="305"/>
      <c r="AP83" s="305"/>
      <c r="AQ83" s="305"/>
      <c r="AR83" s="305"/>
      <c r="AS83" s="305"/>
      <c r="AT83" s="305"/>
      <c r="AU83" s="305"/>
      <c r="AV83" s="305"/>
    </row>
    <row r="84" spans="1:48" s="306" customFormat="1" ht="58.5" hidden="1">
      <c r="A84" s="308" t="s">
        <v>692</v>
      </c>
      <c r="B84" s="304" t="s">
        <v>693</v>
      </c>
      <c r="C84" s="341" t="s">
        <v>797</v>
      </c>
      <c r="D84" s="284"/>
      <c r="E84" s="284"/>
      <c r="F84" s="284"/>
      <c r="G84" s="284"/>
      <c r="H84" s="284"/>
      <c r="I84" s="284"/>
      <c r="J84" s="366">
        <v>1</v>
      </c>
      <c r="K84" s="370">
        <f t="shared" si="6"/>
        <v>1.418439716312057</v>
      </c>
      <c r="L84" s="371">
        <v>20</v>
      </c>
      <c r="M84" s="371">
        <v>20</v>
      </c>
      <c r="N84" s="366">
        <f t="shared" si="2"/>
        <v>1</v>
      </c>
      <c r="O84" s="370">
        <f t="shared" si="3"/>
        <v>2.836879432624114</v>
      </c>
      <c r="P84" s="370">
        <f t="shared" si="4"/>
        <v>20</v>
      </c>
      <c r="Q84" s="366">
        <f t="shared" si="7"/>
        <v>1</v>
      </c>
      <c r="R84" s="370">
        <f t="shared" si="0"/>
        <v>2.836879432624114</v>
      </c>
      <c r="S84" s="366">
        <f t="shared" si="8"/>
        <v>100</v>
      </c>
      <c r="T84" s="366">
        <v>15.5</v>
      </c>
      <c r="U84" s="370">
        <f t="shared" si="5"/>
        <v>77.5</v>
      </c>
      <c r="V84" s="370"/>
      <c r="W84" s="372"/>
      <c r="X84" s="370"/>
      <c r="Y84" s="370"/>
      <c r="Z84" s="370"/>
      <c r="AA84" s="370"/>
      <c r="AB84" s="370"/>
      <c r="AC84" s="370"/>
      <c r="AD84" s="370"/>
      <c r="AE84" s="370"/>
      <c r="AF84" s="370"/>
      <c r="AG84" s="370"/>
      <c r="AH84" s="370"/>
      <c r="AI84" s="370"/>
      <c r="AJ84" s="366"/>
      <c r="AK84" s="366"/>
      <c r="AL84" s="360"/>
      <c r="AM84" s="305" t="s">
        <v>823</v>
      </c>
      <c r="AN84" s="305"/>
      <c r="AO84" s="305"/>
      <c r="AP84" s="305"/>
      <c r="AQ84" s="305"/>
      <c r="AR84" s="305"/>
      <c r="AS84" s="305"/>
      <c r="AT84" s="305"/>
      <c r="AU84" s="305"/>
      <c r="AV84" s="305"/>
    </row>
    <row r="85" spans="1:48" s="306" customFormat="1" ht="39" hidden="1">
      <c r="A85" s="304" t="s">
        <v>305</v>
      </c>
      <c r="B85" s="304" t="s">
        <v>694</v>
      </c>
      <c r="C85" s="341" t="s">
        <v>797</v>
      </c>
      <c r="D85" s="284"/>
      <c r="E85" s="284"/>
      <c r="F85" s="284"/>
      <c r="G85" s="284"/>
      <c r="H85" s="284"/>
      <c r="I85" s="284"/>
      <c r="J85" s="366">
        <v>5</v>
      </c>
      <c r="K85" s="370">
        <f t="shared" si="6"/>
        <v>0.35460992907801425</v>
      </c>
      <c r="L85" s="371">
        <v>5</v>
      </c>
      <c r="M85" s="371">
        <v>5</v>
      </c>
      <c r="N85" s="366">
        <f t="shared" si="2"/>
        <v>5</v>
      </c>
      <c r="O85" s="370">
        <f t="shared" si="3"/>
        <v>0.7092198581560285</v>
      </c>
      <c r="P85" s="370">
        <f t="shared" si="4"/>
        <v>5</v>
      </c>
      <c r="Q85" s="366">
        <f t="shared" si="7"/>
        <v>5</v>
      </c>
      <c r="R85" s="370">
        <f t="shared" si="0"/>
        <v>0.7092198581560285</v>
      </c>
      <c r="S85" s="366">
        <f t="shared" si="8"/>
        <v>100</v>
      </c>
      <c r="T85" s="366">
        <v>4.87</v>
      </c>
      <c r="U85" s="370">
        <f t="shared" si="5"/>
        <v>97.399999999999991</v>
      </c>
      <c r="V85" s="370"/>
      <c r="W85" s="372"/>
      <c r="X85" s="370"/>
      <c r="Y85" s="370"/>
      <c r="Z85" s="370"/>
      <c r="AA85" s="370"/>
      <c r="AB85" s="370"/>
      <c r="AC85" s="370"/>
      <c r="AD85" s="370"/>
      <c r="AE85" s="370"/>
      <c r="AF85" s="370"/>
      <c r="AG85" s="370"/>
      <c r="AH85" s="370"/>
      <c r="AI85" s="370"/>
      <c r="AJ85" s="366"/>
      <c r="AK85" s="366"/>
      <c r="AL85" s="360"/>
      <c r="AM85" s="305" t="s">
        <v>823</v>
      </c>
      <c r="AN85" s="305"/>
      <c r="AO85" s="305"/>
      <c r="AP85" s="305"/>
      <c r="AQ85" s="305"/>
      <c r="AR85" s="305"/>
      <c r="AS85" s="305"/>
      <c r="AT85" s="305"/>
      <c r="AU85" s="305"/>
      <c r="AV85" s="305"/>
    </row>
    <row r="86" spans="1:48" s="306" customFormat="1" ht="58.5" hidden="1">
      <c r="A86" s="304" t="s">
        <v>307</v>
      </c>
      <c r="B86" s="304" t="s">
        <v>695</v>
      </c>
      <c r="C86" s="341" t="s">
        <v>797</v>
      </c>
      <c r="D86" s="284"/>
      <c r="E86" s="284"/>
      <c r="F86" s="284"/>
      <c r="G86" s="284"/>
      <c r="H86" s="284"/>
      <c r="I86" s="284"/>
      <c r="J86" s="366">
        <v>1</v>
      </c>
      <c r="K86" s="370">
        <f t="shared" si="6"/>
        <v>1.0638297872340428</v>
      </c>
      <c r="L86" s="371">
        <v>15</v>
      </c>
      <c r="M86" s="371">
        <v>7.5</v>
      </c>
      <c r="N86" s="366">
        <f t="shared" si="2"/>
        <v>1</v>
      </c>
      <c r="O86" s="370">
        <f t="shared" si="3"/>
        <v>1.0638297872340428</v>
      </c>
      <c r="P86" s="370">
        <f t="shared" si="4"/>
        <v>7.5</v>
      </c>
      <c r="Q86" s="366">
        <f t="shared" si="7"/>
        <v>1</v>
      </c>
      <c r="R86" s="370">
        <f t="shared" ref="R86:R134" si="12">IF(N86=0,Q86/J86*K86,Q86/N86*O86)</f>
        <v>1.0638297872340428</v>
      </c>
      <c r="S86" s="366">
        <f t="shared" si="8"/>
        <v>100</v>
      </c>
      <c r="T86" s="366">
        <v>6.93</v>
      </c>
      <c r="U86" s="370">
        <f t="shared" si="5"/>
        <v>92.399999999999991</v>
      </c>
      <c r="V86" s="370"/>
      <c r="W86" s="372"/>
      <c r="X86" s="370"/>
      <c r="Y86" s="370"/>
      <c r="Z86" s="370"/>
      <c r="AA86" s="370"/>
      <c r="AB86" s="370"/>
      <c r="AC86" s="370"/>
      <c r="AD86" s="370"/>
      <c r="AE86" s="370"/>
      <c r="AF86" s="370"/>
      <c r="AG86" s="370"/>
      <c r="AH86" s="370"/>
      <c r="AI86" s="370"/>
      <c r="AJ86" s="366"/>
      <c r="AK86" s="366"/>
      <c r="AL86" s="360"/>
      <c r="AM86" s="305" t="s">
        <v>823</v>
      </c>
      <c r="AN86" s="305"/>
      <c r="AO86" s="305"/>
      <c r="AP86" s="305"/>
      <c r="AQ86" s="305"/>
      <c r="AR86" s="305"/>
      <c r="AS86" s="305"/>
      <c r="AT86" s="305"/>
      <c r="AU86" s="305"/>
      <c r="AV86" s="305"/>
    </row>
    <row r="87" spans="1:48" s="306" customFormat="1" ht="39" hidden="1">
      <c r="A87" s="304" t="s">
        <v>309</v>
      </c>
      <c r="B87" s="304" t="s">
        <v>696</v>
      </c>
      <c r="C87" s="341" t="s">
        <v>797</v>
      </c>
      <c r="D87" s="284"/>
      <c r="E87" s="284"/>
      <c r="F87" s="284"/>
      <c r="G87" s="284"/>
      <c r="H87" s="284"/>
      <c r="I87" s="284"/>
      <c r="J87" s="366">
        <v>1</v>
      </c>
      <c r="K87" s="370">
        <f t="shared" si="6"/>
        <v>7.0921985815602842</v>
      </c>
      <c r="L87" s="371">
        <v>100</v>
      </c>
      <c r="M87" s="371">
        <v>30.5</v>
      </c>
      <c r="N87" s="366">
        <f t="shared" ref="N87:N134" si="13">J87</f>
        <v>1</v>
      </c>
      <c r="O87" s="370">
        <f t="shared" ref="O87:O134" si="14">P87/$P$136*100</f>
        <v>4.3262411347517737</v>
      </c>
      <c r="P87" s="370">
        <f t="shared" ref="P87:P134" si="15">M87</f>
        <v>30.5</v>
      </c>
      <c r="Q87" s="366">
        <f t="shared" si="7"/>
        <v>1</v>
      </c>
      <c r="R87" s="370">
        <f t="shared" si="12"/>
        <v>4.3262411347517737</v>
      </c>
      <c r="S87" s="366">
        <f t="shared" si="8"/>
        <v>100</v>
      </c>
      <c r="T87" s="366">
        <v>30.35</v>
      </c>
      <c r="U87" s="370">
        <f t="shared" ref="U87:U134" si="16">IFERROR(T87/P87*100,0)</f>
        <v>99.508196721311478</v>
      </c>
      <c r="V87" s="370"/>
      <c r="W87" s="372"/>
      <c r="X87" s="370"/>
      <c r="Y87" s="370"/>
      <c r="Z87" s="370"/>
      <c r="AA87" s="370"/>
      <c r="AB87" s="370"/>
      <c r="AC87" s="370"/>
      <c r="AD87" s="370"/>
      <c r="AE87" s="370"/>
      <c r="AF87" s="370"/>
      <c r="AG87" s="370"/>
      <c r="AH87" s="370"/>
      <c r="AI87" s="370"/>
      <c r="AJ87" s="366"/>
      <c r="AK87" s="366"/>
      <c r="AL87" s="360"/>
      <c r="AM87" s="305" t="s">
        <v>823</v>
      </c>
      <c r="AN87" s="305"/>
      <c r="AO87" s="305"/>
      <c r="AP87" s="305"/>
      <c r="AQ87" s="305"/>
      <c r="AR87" s="305"/>
      <c r="AS87" s="305"/>
      <c r="AT87" s="305"/>
      <c r="AU87" s="305"/>
      <c r="AV87" s="305"/>
    </row>
    <row r="88" spans="1:48" s="306" customFormat="1" ht="39" hidden="1">
      <c r="A88" s="304" t="s">
        <v>311</v>
      </c>
      <c r="B88" s="304" t="s">
        <v>697</v>
      </c>
      <c r="C88" s="341" t="s">
        <v>797</v>
      </c>
      <c r="D88" s="284"/>
      <c r="E88" s="284"/>
      <c r="F88" s="284"/>
      <c r="G88" s="284"/>
      <c r="H88" s="284"/>
      <c r="I88" s="284"/>
      <c r="J88" s="366">
        <v>1</v>
      </c>
      <c r="K88" s="370">
        <f t="shared" ref="K88:K134" si="17">(L88/$L$135)*100</f>
        <v>7.0921985815602856E-2</v>
      </c>
      <c r="L88" s="371">
        <v>1</v>
      </c>
      <c r="M88" s="371">
        <v>0</v>
      </c>
      <c r="N88" s="366">
        <f t="shared" si="13"/>
        <v>1</v>
      </c>
      <c r="O88" s="370">
        <f t="shared" si="14"/>
        <v>0</v>
      </c>
      <c r="P88" s="370">
        <f t="shared" si="15"/>
        <v>0</v>
      </c>
      <c r="Q88" s="366">
        <f t="shared" ref="Q88:Q133" si="18">J88</f>
        <v>1</v>
      </c>
      <c r="R88" s="370">
        <f t="shared" si="12"/>
        <v>0</v>
      </c>
      <c r="S88" s="366">
        <f t="shared" si="8"/>
        <v>0</v>
      </c>
      <c r="T88" s="366">
        <v>0</v>
      </c>
      <c r="U88" s="370">
        <f t="shared" si="16"/>
        <v>0</v>
      </c>
      <c r="V88" s="370"/>
      <c r="W88" s="372"/>
      <c r="X88" s="370"/>
      <c r="Y88" s="370"/>
      <c r="Z88" s="370"/>
      <c r="AA88" s="370"/>
      <c r="AB88" s="370"/>
      <c r="AC88" s="370"/>
      <c r="AD88" s="370"/>
      <c r="AE88" s="370"/>
      <c r="AF88" s="370"/>
      <c r="AG88" s="370"/>
      <c r="AH88" s="370"/>
      <c r="AI88" s="370"/>
      <c r="AJ88" s="366"/>
      <c r="AK88" s="366"/>
      <c r="AL88" s="360"/>
      <c r="AM88" s="305" t="s">
        <v>823</v>
      </c>
      <c r="AN88" s="305"/>
      <c r="AO88" s="305"/>
      <c r="AP88" s="305"/>
      <c r="AQ88" s="305"/>
      <c r="AR88" s="305"/>
      <c r="AS88" s="305"/>
      <c r="AT88" s="305"/>
      <c r="AU88" s="305"/>
      <c r="AV88" s="305"/>
    </row>
    <row r="89" spans="1:48" s="306" customFormat="1" ht="39" hidden="1">
      <c r="A89" s="304" t="s">
        <v>313</v>
      </c>
      <c r="B89" s="304" t="s">
        <v>698</v>
      </c>
      <c r="C89" s="341" t="s">
        <v>797</v>
      </c>
      <c r="D89" s="284"/>
      <c r="E89" s="284"/>
      <c r="F89" s="284"/>
      <c r="G89" s="284"/>
      <c r="H89" s="284"/>
      <c r="I89" s="284"/>
      <c r="J89" s="366">
        <v>1</v>
      </c>
      <c r="K89" s="370">
        <f t="shared" si="17"/>
        <v>7.0921985815602856E-2</v>
      </c>
      <c r="L89" s="371">
        <v>1</v>
      </c>
      <c r="M89" s="371">
        <v>0</v>
      </c>
      <c r="N89" s="366">
        <f t="shared" si="13"/>
        <v>1</v>
      </c>
      <c r="O89" s="370">
        <f t="shared" si="14"/>
        <v>0</v>
      </c>
      <c r="P89" s="370">
        <f t="shared" si="15"/>
        <v>0</v>
      </c>
      <c r="Q89" s="366">
        <f t="shared" si="18"/>
        <v>1</v>
      </c>
      <c r="R89" s="370">
        <f t="shared" si="12"/>
        <v>0</v>
      </c>
      <c r="S89" s="366">
        <f t="shared" si="8"/>
        <v>0</v>
      </c>
      <c r="T89" s="366">
        <v>0</v>
      </c>
      <c r="U89" s="370">
        <f t="shared" si="16"/>
        <v>0</v>
      </c>
      <c r="V89" s="370"/>
      <c r="W89" s="372"/>
      <c r="X89" s="370"/>
      <c r="Y89" s="370"/>
      <c r="Z89" s="370"/>
      <c r="AA89" s="370"/>
      <c r="AB89" s="370"/>
      <c r="AC89" s="370"/>
      <c r="AD89" s="370"/>
      <c r="AE89" s="370"/>
      <c r="AF89" s="370"/>
      <c r="AG89" s="370"/>
      <c r="AH89" s="370"/>
      <c r="AI89" s="370"/>
      <c r="AJ89" s="366"/>
      <c r="AK89" s="366"/>
      <c r="AL89" s="360"/>
      <c r="AM89" s="305" t="s">
        <v>823</v>
      </c>
      <c r="AN89" s="305"/>
      <c r="AO89" s="305"/>
      <c r="AP89" s="305"/>
      <c r="AQ89" s="305"/>
      <c r="AR89" s="305"/>
      <c r="AS89" s="305"/>
      <c r="AT89" s="305"/>
      <c r="AU89" s="305"/>
      <c r="AV89" s="305"/>
    </row>
    <row r="90" spans="1:48" s="306" customFormat="1" ht="39" hidden="1">
      <c r="A90" s="304" t="s">
        <v>315</v>
      </c>
      <c r="B90" s="304" t="s">
        <v>699</v>
      </c>
      <c r="C90" s="341" t="s">
        <v>797</v>
      </c>
      <c r="D90" s="284"/>
      <c r="E90" s="284"/>
      <c r="F90" s="284"/>
      <c r="G90" s="284"/>
      <c r="H90" s="284"/>
      <c r="I90" s="284"/>
      <c r="J90" s="366">
        <v>1</v>
      </c>
      <c r="K90" s="370">
        <f t="shared" si="17"/>
        <v>7.0921985815602856E-2</v>
      </c>
      <c r="L90" s="371">
        <v>1</v>
      </c>
      <c r="M90" s="371">
        <v>0</v>
      </c>
      <c r="N90" s="366">
        <f t="shared" si="13"/>
        <v>1</v>
      </c>
      <c r="O90" s="370">
        <f t="shared" si="14"/>
        <v>0</v>
      </c>
      <c r="P90" s="370">
        <f t="shared" si="15"/>
        <v>0</v>
      </c>
      <c r="Q90" s="366">
        <f t="shared" si="18"/>
        <v>1</v>
      </c>
      <c r="R90" s="370">
        <f t="shared" si="12"/>
        <v>0</v>
      </c>
      <c r="S90" s="366">
        <f t="shared" si="8"/>
        <v>0</v>
      </c>
      <c r="T90" s="366">
        <v>0</v>
      </c>
      <c r="U90" s="370">
        <f t="shared" si="16"/>
        <v>0</v>
      </c>
      <c r="V90" s="370"/>
      <c r="W90" s="372"/>
      <c r="X90" s="370"/>
      <c r="Y90" s="370"/>
      <c r="Z90" s="370"/>
      <c r="AA90" s="370"/>
      <c r="AB90" s="370"/>
      <c r="AC90" s="370"/>
      <c r="AD90" s="370"/>
      <c r="AE90" s="370"/>
      <c r="AF90" s="370"/>
      <c r="AG90" s="370"/>
      <c r="AH90" s="370"/>
      <c r="AI90" s="370"/>
      <c r="AJ90" s="366"/>
      <c r="AK90" s="366"/>
      <c r="AL90" s="360"/>
      <c r="AM90" s="305" t="s">
        <v>823</v>
      </c>
      <c r="AN90" s="305"/>
      <c r="AO90" s="305"/>
      <c r="AP90" s="305"/>
      <c r="AQ90" s="305"/>
      <c r="AR90" s="305"/>
      <c r="AS90" s="305"/>
      <c r="AT90" s="305"/>
      <c r="AU90" s="305"/>
      <c r="AV90" s="305"/>
    </row>
    <row r="91" spans="1:48" s="306" customFormat="1" ht="39" hidden="1">
      <c r="A91" s="304" t="s">
        <v>317</v>
      </c>
      <c r="B91" s="304" t="s">
        <v>700</v>
      </c>
      <c r="C91" s="341" t="s">
        <v>797</v>
      </c>
      <c r="D91" s="284"/>
      <c r="E91" s="284"/>
      <c r="F91" s="284"/>
      <c r="G91" s="284"/>
      <c r="H91" s="284"/>
      <c r="I91" s="284"/>
      <c r="J91" s="366">
        <v>1</v>
      </c>
      <c r="K91" s="370">
        <f t="shared" si="17"/>
        <v>7.0921985815602856E-2</v>
      </c>
      <c r="L91" s="371">
        <v>1</v>
      </c>
      <c r="M91" s="371">
        <v>0</v>
      </c>
      <c r="N91" s="366">
        <f t="shared" si="13"/>
        <v>1</v>
      </c>
      <c r="O91" s="370">
        <f t="shared" si="14"/>
        <v>0</v>
      </c>
      <c r="P91" s="370">
        <f t="shared" si="15"/>
        <v>0</v>
      </c>
      <c r="Q91" s="366">
        <f t="shared" si="18"/>
        <v>1</v>
      </c>
      <c r="R91" s="370">
        <f t="shared" si="12"/>
        <v>0</v>
      </c>
      <c r="S91" s="366">
        <f t="shared" si="8"/>
        <v>0</v>
      </c>
      <c r="T91" s="366">
        <v>0</v>
      </c>
      <c r="U91" s="370">
        <f t="shared" si="16"/>
        <v>0</v>
      </c>
      <c r="V91" s="370"/>
      <c r="W91" s="372"/>
      <c r="X91" s="370"/>
      <c r="Y91" s="370"/>
      <c r="Z91" s="370"/>
      <c r="AA91" s="370"/>
      <c r="AB91" s="370"/>
      <c r="AC91" s="370"/>
      <c r="AD91" s="370"/>
      <c r="AE91" s="370"/>
      <c r="AF91" s="370"/>
      <c r="AG91" s="370"/>
      <c r="AH91" s="370"/>
      <c r="AI91" s="370"/>
      <c r="AJ91" s="366"/>
      <c r="AK91" s="366"/>
      <c r="AL91" s="360"/>
      <c r="AM91" s="305" t="s">
        <v>823</v>
      </c>
      <c r="AN91" s="305"/>
      <c r="AO91" s="305"/>
      <c r="AP91" s="305"/>
      <c r="AQ91" s="305"/>
      <c r="AR91" s="305"/>
      <c r="AS91" s="305"/>
      <c r="AT91" s="305"/>
      <c r="AU91" s="305"/>
      <c r="AV91" s="305"/>
    </row>
    <row r="92" spans="1:48" s="306" customFormat="1" ht="58.5" hidden="1">
      <c r="A92" s="304" t="s">
        <v>319</v>
      </c>
      <c r="B92" s="304" t="s">
        <v>701</v>
      </c>
      <c r="C92" s="341" t="s">
        <v>797</v>
      </c>
      <c r="D92" s="284"/>
      <c r="E92" s="284"/>
      <c r="F92" s="284"/>
      <c r="G92" s="284"/>
      <c r="H92" s="284"/>
      <c r="I92" s="284"/>
      <c r="J92" s="366">
        <v>1</v>
      </c>
      <c r="K92" s="370">
        <f t="shared" si="17"/>
        <v>7.0921985815602856E-2</v>
      </c>
      <c r="L92" s="371">
        <v>1</v>
      </c>
      <c r="M92" s="371">
        <v>0</v>
      </c>
      <c r="N92" s="366">
        <f t="shared" si="13"/>
        <v>1</v>
      </c>
      <c r="O92" s="370">
        <f t="shared" si="14"/>
        <v>0</v>
      </c>
      <c r="P92" s="370">
        <f t="shared" si="15"/>
        <v>0</v>
      </c>
      <c r="Q92" s="366">
        <f t="shared" si="18"/>
        <v>1</v>
      </c>
      <c r="R92" s="370">
        <f t="shared" si="12"/>
        <v>0</v>
      </c>
      <c r="S92" s="366">
        <f t="shared" si="8"/>
        <v>0</v>
      </c>
      <c r="T92" s="366">
        <v>0</v>
      </c>
      <c r="U92" s="370">
        <f t="shared" si="16"/>
        <v>0</v>
      </c>
      <c r="V92" s="370"/>
      <c r="W92" s="372"/>
      <c r="X92" s="370"/>
      <c r="Y92" s="370"/>
      <c r="Z92" s="370"/>
      <c r="AA92" s="370"/>
      <c r="AB92" s="370"/>
      <c r="AC92" s="370"/>
      <c r="AD92" s="370"/>
      <c r="AE92" s="370"/>
      <c r="AF92" s="370"/>
      <c r="AG92" s="370"/>
      <c r="AH92" s="370"/>
      <c r="AI92" s="370"/>
      <c r="AJ92" s="366"/>
      <c r="AK92" s="366"/>
      <c r="AL92" s="360"/>
      <c r="AM92" s="305" t="s">
        <v>823</v>
      </c>
      <c r="AN92" s="305"/>
      <c r="AO92" s="305"/>
      <c r="AP92" s="305"/>
      <c r="AQ92" s="305"/>
      <c r="AR92" s="305"/>
      <c r="AS92" s="305"/>
      <c r="AT92" s="305"/>
      <c r="AU92" s="305"/>
      <c r="AV92" s="305"/>
    </row>
    <row r="93" spans="1:48" s="306" customFormat="1" ht="39" hidden="1">
      <c r="A93" s="304" t="s">
        <v>321</v>
      </c>
      <c r="B93" s="304" t="s">
        <v>702</v>
      </c>
      <c r="C93" s="341" t="s">
        <v>797</v>
      </c>
      <c r="D93" s="284"/>
      <c r="E93" s="284"/>
      <c r="F93" s="284"/>
      <c r="G93" s="284"/>
      <c r="H93" s="284"/>
      <c r="I93" s="284"/>
      <c r="J93" s="366">
        <v>20.67</v>
      </c>
      <c r="K93" s="370">
        <f t="shared" si="17"/>
        <v>2.1985815602836882</v>
      </c>
      <c r="L93" s="371">
        <v>31</v>
      </c>
      <c r="M93" s="371">
        <v>20.56</v>
      </c>
      <c r="N93" s="366">
        <f t="shared" si="13"/>
        <v>20.67</v>
      </c>
      <c r="O93" s="370">
        <f t="shared" si="14"/>
        <v>2.9163120567375889</v>
      </c>
      <c r="P93" s="370">
        <f t="shared" si="15"/>
        <v>20.56</v>
      </c>
      <c r="Q93" s="366">
        <f t="shared" si="18"/>
        <v>20.67</v>
      </c>
      <c r="R93" s="370">
        <f t="shared" si="12"/>
        <v>2.9163120567375889</v>
      </c>
      <c r="S93" s="366">
        <f t="shared" si="8"/>
        <v>100</v>
      </c>
      <c r="T93" s="366">
        <v>20.420000000000002</v>
      </c>
      <c r="U93" s="370">
        <f t="shared" si="16"/>
        <v>99.319066147859942</v>
      </c>
      <c r="V93" s="370"/>
      <c r="W93" s="372"/>
      <c r="X93" s="370"/>
      <c r="Y93" s="370"/>
      <c r="Z93" s="370"/>
      <c r="AA93" s="370"/>
      <c r="AB93" s="370"/>
      <c r="AC93" s="370"/>
      <c r="AD93" s="370"/>
      <c r="AE93" s="370"/>
      <c r="AF93" s="370"/>
      <c r="AG93" s="370"/>
      <c r="AH93" s="370"/>
      <c r="AI93" s="370"/>
      <c r="AJ93" s="366"/>
      <c r="AK93" s="366"/>
      <c r="AL93" s="360"/>
      <c r="AM93" s="305" t="s">
        <v>823</v>
      </c>
      <c r="AN93" s="305"/>
      <c r="AO93" s="305"/>
      <c r="AP93" s="305"/>
      <c r="AQ93" s="305"/>
      <c r="AR93" s="305"/>
      <c r="AS93" s="305"/>
      <c r="AT93" s="305"/>
      <c r="AU93" s="305"/>
      <c r="AV93" s="305"/>
    </row>
    <row r="94" spans="1:48" s="306" customFormat="1" ht="39" hidden="1">
      <c r="A94" s="304" t="s">
        <v>325</v>
      </c>
      <c r="B94" s="304" t="s">
        <v>703</v>
      </c>
      <c r="C94" s="341" t="s">
        <v>797</v>
      </c>
      <c r="D94" s="284"/>
      <c r="E94" s="284"/>
      <c r="F94" s="284"/>
      <c r="G94" s="284"/>
      <c r="H94" s="284"/>
      <c r="I94" s="284"/>
      <c r="J94" s="366">
        <v>10</v>
      </c>
      <c r="K94" s="370">
        <f t="shared" si="17"/>
        <v>1.418439716312057</v>
      </c>
      <c r="L94" s="371">
        <v>20</v>
      </c>
      <c r="M94" s="371">
        <v>14.48</v>
      </c>
      <c r="N94" s="366">
        <f t="shared" si="13"/>
        <v>10</v>
      </c>
      <c r="O94" s="370">
        <f t="shared" si="14"/>
        <v>2.0539007092198589</v>
      </c>
      <c r="P94" s="370">
        <f t="shared" si="15"/>
        <v>14.48</v>
      </c>
      <c r="Q94" s="366">
        <f t="shared" si="18"/>
        <v>10</v>
      </c>
      <c r="R94" s="370">
        <f t="shared" si="12"/>
        <v>2.0539007092198589</v>
      </c>
      <c r="S94" s="366">
        <f t="shared" si="8"/>
        <v>100</v>
      </c>
      <c r="T94" s="366">
        <v>14.47</v>
      </c>
      <c r="U94" s="370">
        <f t="shared" si="16"/>
        <v>99.930939226519328</v>
      </c>
      <c r="V94" s="370"/>
      <c r="W94" s="372"/>
      <c r="X94" s="370"/>
      <c r="Y94" s="370"/>
      <c r="Z94" s="370"/>
      <c r="AA94" s="370"/>
      <c r="AB94" s="370"/>
      <c r="AC94" s="370"/>
      <c r="AD94" s="370"/>
      <c r="AE94" s="370"/>
      <c r="AF94" s="370"/>
      <c r="AG94" s="370"/>
      <c r="AH94" s="370"/>
      <c r="AI94" s="370"/>
      <c r="AJ94" s="366"/>
      <c r="AK94" s="366"/>
      <c r="AL94" s="360"/>
      <c r="AM94" s="305" t="s">
        <v>823</v>
      </c>
      <c r="AN94" s="305"/>
      <c r="AO94" s="305"/>
      <c r="AP94" s="305"/>
      <c r="AQ94" s="305"/>
      <c r="AR94" s="305"/>
      <c r="AS94" s="305"/>
      <c r="AT94" s="305"/>
      <c r="AU94" s="305"/>
      <c r="AV94" s="305"/>
    </row>
    <row r="95" spans="1:48" s="306" customFormat="1" ht="39" hidden="1">
      <c r="A95" s="304" t="s">
        <v>818</v>
      </c>
      <c r="B95" s="379" t="s">
        <v>705</v>
      </c>
      <c r="C95" s="283" t="s">
        <v>795</v>
      </c>
      <c r="D95" s="284"/>
      <c r="E95" s="284"/>
      <c r="F95" s="284"/>
      <c r="G95" s="284"/>
      <c r="H95" s="284"/>
      <c r="I95" s="284"/>
      <c r="J95" s="366">
        <v>1</v>
      </c>
      <c r="K95" s="370">
        <f t="shared" si="17"/>
        <v>5.3191489361702136</v>
      </c>
      <c r="L95" s="371">
        <v>75</v>
      </c>
      <c r="M95" s="371">
        <v>73.099999999999994</v>
      </c>
      <c r="N95" s="366">
        <f t="shared" si="13"/>
        <v>1</v>
      </c>
      <c r="O95" s="370">
        <f t="shared" si="14"/>
        <v>10.368794326241137</v>
      </c>
      <c r="P95" s="370">
        <f t="shared" si="15"/>
        <v>73.099999999999994</v>
      </c>
      <c r="Q95" s="366">
        <f t="shared" si="18"/>
        <v>1</v>
      </c>
      <c r="R95" s="370">
        <f t="shared" si="12"/>
        <v>10.368794326241137</v>
      </c>
      <c r="S95" s="366">
        <f t="shared" si="8"/>
        <v>100</v>
      </c>
      <c r="T95" s="366">
        <v>71.7</v>
      </c>
      <c r="U95" s="370">
        <f t="shared" si="16"/>
        <v>98.084815321477436</v>
      </c>
      <c r="V95" s="370"/>
      <c r="W95" s="372"/>
      <c r="X95" s="370"/>
      <c r="Y95" s="370"/>
      <c r="Z95" s="370"/>
      <c r="AA95" s="370"/>
      <c r="AB95" s="370"/>
      <c r="AC95" s="370"/>
      <c r="AD95" s="370"/>
      <c r="AE95" s="370"/>
      <c r="AF95" s="370"/>
      <c r="AG95" s="370"/>
      <c r="AH95" s="370"/>
      <c r="AI95" s="370"/>
      <c r="AJ95" s="366"/>
      <c r="AK95" s="366"/>
      <c r="AL95" s="360"/>
      <c r="AM95" s="305" t="s">
        <v>824</v>
      </c>
      <c r="AN95" s="305"/>
      <c r="AO95" s="305"/>
      <c r="AP95" s="305"/>
      <c r="AQ95" s="305"/>
      <c r="AR95" s="305"/>
      <c r="AS95" s="305"/>
      <c r="AT95" s="305"/>
      <c r="AU95" s="305"/>
      <c r="AV95" s="305"/>
    </row>
    <row r="96" spans="1:48" s="306" customFormat="1" ht="39" hidden="1">
      <c r="A96" s="304" t="s">
        <v>327</v>
      </c>
      <c r="B96" s="304" t="s">
        <v>706</v>
      </c>
      <c r="C96" s="341" t="s">
        <v>797</v>
      </c>
      <c r="D96" s="284"/>
      <c r="E96" s="284"/>
      <c r="F96" s="284"/>
      <c r="G96" s="284"/>
      <c r="H96" s="284"/>
      <c r="I96" s="284"/>
      <c r="J96" s="366">
        <v>1</v>
      </c>
      <c r="K96" s="370">
        <f t="shared" si="17"/>
        <v>7.0921985815602856E-2</v>
      </c>
      <c r="L96" s="371">
        <v>1</v>
      </c>
      <c r="M96" s="371">
        <v>0</v>
      </c>
      <c r="N96" s="366">
        <f t="shared" si="13"/>
        <v>1</v>
      </c>
      <c r="O96" s="370">
        <f t="shared" si="14"/>
        <v>0</v>
      </c>
      <c r="P96" s="370">
        <f t="shared" si="15"/>
        <v>0</v>
      </c>
      <c r="Q96" s="366">
        <f t="shared" si="18"/>
        <v>1</v>
      </c>
      <c r="R96" s="370">
        <f t="shared" si="12"/>
        <v>0</v>
      </c>
      <c r="S96" s="366">
        <f t="shared" ref="S96:S124" si="19">ROUND(IF(O96=0,R96/K96*100,R96/O96*100),2)</f>
        <v>0</v>
      </c>
      <c r="T96" s="366">
        <v>0</v>
      </c>
      <c r="U96" s="370">
        <f t="shared" si="16"/>
        <v>0</v>
      </c>
      <c r="V96" s="370"/>
      <c r="W96" s="372"/>
      <c r="X96" s="370"/>
      <c r="Y96" s="370"/>
      <c r="Z96" s="370"/>
      <c r="AA96" s="370"/>
      <c r="AB96" s="370"/>
      <c r="AC96" s="370"/>
      <c r="AD96" s="370"/>
      <c r="AE96" s="370"/>
      <c r="AF96" s="370"/>
      <c r="AG96" s="370"/>
      <c r="AH96" s="370"/>
      <c r="AI96" s="370"/>
      <c r="AJ96" s="366"/>
      <c r="AK96" s="366"/>
      <c r="AL96" s="360"/>
      <c r="AM96" s="305" t="s">
        <v>823</v>
      </c>
      <c r="AN96" s="305"/>
      <c r="AO96" s="305"/>
      <c r="AP96" s="305"/>
      <c r="AQ96" s="305"/>
      <c r="AR96" s="305"/>
      <c r="AS96" s="305"/>
      <c r="AT96" s="305"/>
      <c r="AU96" s="305"/>
      <c r="AV96" s="305"/>
    </row>
    <row r="97" spans="1:48" s="306" customFormat="1" ht="39" hidden="1">
      <c r="A97" s="304" t="s">
        <v>329</v>
      </c>
      <c r="B97" s="304" t="s">
        <v>707</v>
      </c>
      <c r="C97" s="341" t="s">
        <v>797</v>
      </c>
      <c r="D97" s="284"/>
      <c r="E97" s="284"/>
      <c r="F97" s="284"/>
      <c r="G97" s="284"/>
      <c r="H97" s="284"/>
      <c r="I97" s="284"/>
      <c r="J97" s="366">
        <v>0.5</v>
      </c>
      <c r="K97" s="370">
        <f t="shared" si="17"/>
        <v>3.5460992907801428E-2</v>
      </c>
      <c r="L97" s="371">
        <v>0.5</v>
      </c>
      <c r="M97" s="371">
        <v>0.5</v>
      </c>
      <c r="N97" s="366">
        <f t="shared" si="13"/>
        <v>0.5</v>
      </c>
      <c r="O97" s="370">
        <f t="shared" si="14"/>
        <v>7.0921985815602856E-2</v>
      </c>
      <c r="P97" s="370">
        <f t="shared" si="15"/>
        <v>0.5</v>
      </c>
      <c r="Q97" s="366">
        <f t="shared" si="18"/>
        <v>0.5</v>
      </c>
      <c r="R97" s="370">
        <f t="shared" si="12"/>
        <v>7.0921985815602856E-2</v>
      </c>
      <c r="S97" s="366">
        <f t="shared" si="19"/>
        <v>100</v>
      </c>
      <c r="T97" s="366">
        <v>0.31</v>
      </c>
      <c r="U97" s="370">
        <f t="shared" si="16"/>
        <v>62</v>
      </c>
      <c r="V97" s="370"/>
      <c r="W97" s="372"/>
      <c r="X97" s="370"/>
      <c r="Y97" s="370"/>
      <c r="Z97" s="370"/>
      <c r="AA97" s="370"/>
      <c r="AB97" s="370"/>
      <c r="AC97" s="370"/>
      <c r="AD97" s="370"/>
      <c r="AE97" s="370"/>
      <c r="AF97" s="370"/>
      <c r="AG97" s="370"/>
      <c r="AH97" s="370"/>
      <c r="AI97" s="370"/>
      <c r="AJ97" s="366"/>
      <c r="AK97" s="366"/>
      <c r="AL97" s="360"/>
      <c r="AM97" s="305" t="s">
        <v>823</v>
      </c>
      <c r="AN97" s="305"/>
      <c r="AO97" s="305"/>
      <c r="AP97" s="305"/>
      <c r="AQ97" s="305"/>
      <c r="AR97" s="305"/>
      <c r="AS97" s="305"/>
      <c r="AT97" s="305"/>
      <c r="AU97" s="305"/>
      <c r="AV97" s="305"/>
    </row>
    <row r="98" spans="1:48" s="306" customFormat="1" ht="39" hidden="1">
      <c r="A98" s="304" t="s">
        <v>331</v>
      </c>
      <c r="B98" s="304" t="s">
        <v>708</v>
      </c>
      <c r="C98" s="341" t="s">
        <v>797</v>
      </c>
      <c r="D98" s="284"/>
      <c r="E98" s="284"/>
      <c r="F98" s="284"/>
      <c r="G98" s="284"/>
      <c r="H98" s="284"/>
      <c r="I98" s="284"/>
      <c r="J98" s="366">
        <v>0.5</v>
      </c>
      <c r="K98" s="370">
        <f t="shared" si="17"/>
        <v>3.5460992907801428E-2</v>
      </c>
      <c r="L98" s="371">
        <v>0.5</v>
      </c>
      <c r="M98" s="371">
        <v>0</v>
      </c>
      <c r="N98" s="366">
        <f t="shared" si="13"/>
        <v>0.5</v>
      </c>
      <c r="O98" s="370">
        <f t="shared" si="14"/>
        <v>0</v>
      </c>
      <c r="P98" s="370">
        <f t="shared" si="15"/>
        <v>0</v>
      </c>
      <c r="Q98" s="366">
        <f t="shared" si="18"/>
        <v>0.5</v>
      </c>
      <c r="R98" s="370">
        <f t="shared" si="12"/>
        <v>0</v>
      </c>
      <c r="S98" s="366">
        <f t="shared" si="19"/>
        <v>0</v>
      </c>
      <c r="T98" s="366">
        <v>0</v>
      </c>
      <c r="U98" s="370">
        <f t="shared" si="16"/>
        <v>0</v>
      </c>
      <c r="V98" s="370"/>
      <c r="W98" s="372"/>
      <c r="X98" s="370"/>
      <c r="Y98" s="370"/>
      <c r="Z98" s="370"/>
      <c r="AA98" s="370"/>
      <c r="AB98" s="370"/>
      <c r="AC98" s="370"/>
      <c r="AD98" s="370"/>
      <c r="AE98" s="370"/>
      <c r="AF98" s="370"/>
      <c r="AG98" s="370"/>
      <c r="AH98" s="370"/>
      <c r="AI98" s="370"/>
      <c r="AJ98" s="366"/>
      <c r="AK98" s="366"/>
      <c r="AL98" s="360"/>
      <c r="AM98" s="305" t="s">
        <v>823</v>
      </c>
      <c r="AN98" s="305"/>
      <c r="AO98" s="305"/>
      <c r="AP98" s="305"/>
      <c r="AQ98" s="305"/>
      <c r="AR98" s="305"/>
      <c r="AS98" s="305"/>
      <c r="AT98" s="305"/>
      <c r="AU98" s="305"/>
      <c r="AV98" s="305"/>
    </row>
    <row r="99" spans="1:48" s="306" customFormat="1" ht="39" hidden="1">
      <c r="A99" s="304" t="s">
        <v>333</v>
      </c>
      <c r="B99" s="304" t="s">
        <v>709</v>
      </c>
      <c r="C99" s="341" t="s">
        <v>797</v>
      </c>
      <c r="D99" s="284"/>
      <c r="E99" s="284"/>
      <c r="F99" s="284"/>
      <c r="G99" s="284"/>
      <c r="H99" s="284"/>
      <c r="I99" s="284"/>
      <c r="J99" s="366">
        <v>0.5</v>
      </c>
      <c r="K99" s="370">
        <f t="shared" si="17"/>
        <v>3.5460992907801428E-2</v>
      </c>
      <c r="L99" s="371">
        <v>0.5</v>
      </c>
      <c r="M99" s="371">
        <v>0</v>
      </c>
      <c r="N99" s="366">
        <f t="shared" si="13"/>
        <v>0.5</v>
      </c>
      <c r="O99" s="370">
        <f t="shared" si="14"/>
        <v>0</v>
      </c>
      <c r="P99" s="370">
        <f t="shared" si="15"/>
        <v>0</v>
      </c>
      <c r="Q99" s="366">
        <f t="shared" si="18"/>
        <v>0.5</v>
      </c>
      <c r="R99" s="370">
        <f t="shared" si="12"/>
        <v>0</v>
      </c>
      <c r="S99" s="366">
        <f t="shared" si="19"/>
        <v>0</v>
      </c>
      <c r="T99" s="366">
        <v>0</v>
      </c>
      <c r="U99" s="370">
        <f t="shared" si="16"/>
        <v>0</v>
      </c>
      <c r="V99" s="370"/>
      <c r="W99" s="372"/>
      <c r="X99" s="370"/>
      <c r="Y99" s="370"/>
      <c r="Z99" s="370"/>
      <c r="AA99" s="370"/>
      <c r="AB99" s="370"/>
      <c r="AC99" s="370"/>
      <c r="AD99" s="370"/>
      <c r="AE99" s="370"/>
      <c r="AF99" s="370"/>
      <c r="AG99" s="370"/>
      <c r="AH99" s="370"/>
      <c r="AI99" s="370"/>
      <c r="AJ99" s="366"/>
      <c r="AK99" s="366"/>
      <c r="AL99" s="360"/>
      <c r="AM99" s="305" t="s">
        <v>823</v>
      </c>
      <c r="AN99" s="305"/>
      <c r="AO99" s="305"/>
      <c r="AP99" s="305"/>
      <c r="AQ99" s="305"/>
      <c r="AR99" s="305"/>
      <c r="AS99" s="305"/>
      <c r="AT99" s="305"/>
      <c r="AU99" s="305"/>
      <c r="AV99" s="305"/>
    </row>
    <row r="100" spans="1:48" s="306" customFormat="1" ht="39" hidden="1">
      <c r="A100" s="304" t="s">
        <v>335</v>
      </c>
      <c r="B100" s="304" t="s">
        <v>710</v>
      </c>
      <c r="C100" s="341" t="s">
        <v>797</v>
      </c>
      <c r="D100" s="284"/>
      <c r="E100" s="284"/>
      <c r="F100" s="284"/>
      <c r="G100" s="284"/>
      <c r="H100" s="284"/>
      <c r="I100" s="284"/>
      <c r="J100" s="366">
        <v>0.5</v>
      </c>
      <c r="K100" s="370">
        <f t="shared" si="17"/>
        <v>3.5460992907801428E-2</v>
      </c>
      <c r="L100" s="371">
        <v>0.5</v>
      </c>
      <c r="M100" s="371">
        <v>0</v>
      </c>
      <c r="N100" s="366">
        <f t="shared" si="13"/>
        <v>0.5</v>
      </c>
      <c r="O100" s="370">
        <f t="shared" si="14"/>
        <v>0</v>
      </c>
      <c r="P100" s="370">
        <f t="shared" si="15"/>
        <v>0</v>
      </c>
      <c r="Q100" s="366">
        <f t="shared" si="18"/>
        <v>0.5</v>
      </c>
      <c r="R100" s="370">
        <f t="shared" si="12"/>
        <v>0</v>
      </c>
      <c r="S100" s="366">
        <f t="shared" si="19"/>
        <v>0</v>
      </c>
      <c r="T100" s="366">
        <v>0</v>
      </c>
      <c r="U100" s="370">
        <f t="shared" si="16"/>
        <v>0</v>
      </c>
      <c r="V100" s="370"/>
      <c r="W100" s="372"/>
      <c r="X100" s="370"/>
      <c r="Y100" s="370"/>
      <c r="Z100" s="370"/>
      <c r="AA100" s="370"/>
      <c r="AB100" s="370"/>
      <c r="AC100" s="370"/>
      <c r="AD100" s="370"/>
      <c r="AE100" s="370"/>
      <c r="AF100" s="370"/>
      <c r="AG100" s="370"/>
      <c r="AH100" s="370"/>
      <c r="AI100" s="370"/>
      <c r="AJ100" s="366"/>
      <c r="AK100" s="366"/>
      <c r="AL100" s="360"/>
      <c r="AM100" s="305" t="s">
        <v>823</v>
      </c>
      <c r="AN100" s="305"/>
      <c r="AO100" s="305"/>
      <c r="AP100" s="305"/>
      <c r="AQ100" s="305"/>
      <c r="AR100" s="305"/>
      <c r="AS100" s="305"/>
      <c r="AT100" s="305"/>
      <c r="AU100" s="305"/>
      <c r="AV100" s="305"/>
    </row>
    <row r="101" spans="1:48" s="306" customFormat="1" ht="58.5" hidden="1">
      <c r="A101" s="304" t="s">
        <v>337</v>
      </c>
      <c r="B101" s="304" t="s">
        <v>711</v>
      </c>
      <c r="C101" s="341" t="s">
        <v>797</v>
      </c>
      <c r="D101" s="284"/>
      <c r="E101" s="284"/>
      <c r="F101" s="284"/>
      <c r="G101" s="284"/>
      <c r="H101" s="284"/>
      <c r="I101" s="284"/>
      <c r="J101" s="366">
        <v>0.5</v>
      </c>
      <c r="K101" s="370">
        <f t="shared" si="17"/>
        <v>3.5460992907801428E-2</v>
      </c>
      <c r="L101" s="371">
        <v>0.5</v>
      </c>
      <c r="M101" s="371">
        <v>0</v>
      </c>
      <c r="N101" s="366">
        <f t="shared" si="13"/>
        <v>0.5</v>
      </c>
      <c r="O101" s="370">
        <f t="shared" si="14"/>
        <v>0</v>
      </c>
      <c r="P101" s="370">
        <f t="shared" si="15"/>
        <v>0</v>
      </c>
      <c r="Q101" s="366">
        <f t="shared" si="18"/>
        <v>0.5</v>
      </c>
      <c r="R101" s="370">
        <f t="shared" si="12"/>
        <v>0</v>
      </c>
      <c r="S101" s="366">
        <f t="shared" si="19"/>
        <v>0</v>
      </c>
      <c r="T101" s="366">
        <v>0</v>
      </c>
      <c r="U101" s="370">
        <f t="shared" si="16"/>
        <v>0</v>
      </c>
      <c r="V101" s="370"/>
      <c r="W101" s="372"/>
      <c r="X101" s="370"/>
      <c r="Y101" s="370"/>
      <c r="Z101" s="370"/>
      <c r="AA101" s="370"/>
      <c r="AB101" s="370"/>
      <c r="AC101" s="370"/>
      <c r="AD101" s="370"/>
      <c r="AE101" s="370"/>
      <c r="AF101" s="370"/>
      <c r="AG101" s="370"/>
      <c r="AH101" s="370"/>
      <c r="AI101" s="370"/>
      <c r="AJ101" s="366"/>
      <c r="AK101" s="366"/>
      <c r="AL101" s="360"/>
      <c r="AM101" s="305" t="s">
        <v>823</v>
      </c>
      <c r="AN101" s="305"/>
      <c r="AO101" s="305"/>
      <c r="AP101" s="305"/>
      <c r="AQ101" s="305"/>
      <c r="AR101" s="305"/>
      <c r="AS101" s="305"/>
      <c r="AT101" s="305"/>
      <c r="AU101" s="305"/>
      <c r="AV101" s="305"/>
    </row>
    <row r="102" spans="1:48" s="306" customFormat="1" ht="39" hidden="1">
      <c r="A102" s="304" t="s">
        <v>339</v>
      </c>
      <c r="B102" s="304" t="s">
        <v>712</v>
      </c>
      <c r="C102" s="341" t="s">
        <v>797</v>
      </c>
      <c r="D102" s="284"/>
      <c r="E102" s="284"/>
      <c r="F102" s="284"/>
      <c r="G102" s="284"/>
      <c r="H102" s="284"/>
      <c r="I102" s="284"/>
      <c r="J102" s="366">
        <v>0.5</v>
      </c>
      <c r="K102" s="370">
        <f t="shared" si="17"/>
        <v>0.27304964539007098</v>
      </c>
      <c r="L102" s="371">
        <v>3.85</v>
      </c>
      <c r="M102" s="371">
        <v>0</v>
      </c>
      <c r="N102" s="366">
        <f t="shared" si="13"/>
        <v>0.5</v>
      </c>
      <c r="O102" s="370">
        <f t="shared" si="14"/>
        <v>0</v>
      </c>
      <c r="P102" s="370">
        <f t="shared" si="15"/>
        <v>0</v>
      </c>
      <c r="Q102" s="366">
        <f t="shared" si="18"/>
        <v>0.5</v>
      </c>
      <c r="R102" s="370">
        <f t="shared" si="12"/>
        <v>0</v>
      </c>
      <c r="S102" s="366">
        <f t="shared" si="19"/>
        <v>0</v>
      </c>
      <c r="T102" s="366">
        <v>0</v>
      </c>
      <c r="U102" s="370">
        <f t="shared" si="16"/>
        <v>0</v>
      </c>
      <c r="V102" s="370"/>
      <c r="W102" s="372"/>
      <c r="X102" s="370"/>
      <c r="Y102" s="370"/>
      <c r="Z102" s="370"/>
      <c r="AA102" s="370"/>
      <c r="AB102" s="370"/>
      <c r="AC102" s="370"/>
      <c r="AD102" s="370"/>
      <c r="AE102" s="370"/>
      <c r="AF102" s="370"/>
      <c r="AG102" s="370"/>
      <c r="AH102" s="370"/>
      <c r="AI102" s="370"/>
      <c r="AJ102" s="366"/>
      <c r="AK102" s="366"/>
      <c r="AL102" s="360"/>
      <c r="AM102" s="305" t="s">
        <v>823</v>
      </c>
      <c r="AN102" s="305"/>
      <c r="AO102" s="305"/>
      <c r="AP102" s="305"/>
      <c r="AQ102" s="305"/>
      <c r="AR102" s="305"/>
      <c r="AS102" s="305"/>
      <c r="AT102" s="305"/>
      <c r="AU102" s="305"/>
      <c r="AV102" s="305"/>
    </row>
    <row r="103" spans="1:48" s="306" customFormat="1" ht="39" hidden="1">
      <c r="A103" s="304" t="s">
        <v>715</v>
      </c>
      <c r="B103" s="304" t="s">
        <v>713</v>
      </c>
      <c r="C103" s="341" t="s">
        <v>797</v>
      </c>
      <c r="D103" s="284"/>
      <c r="E103" s="284"/>
      <c r="F103" s="284"/>
      <c r="G103" s="284"/>
      <c r="H103" s="284"/>
      <c r="I103" s="284"/>
      <c r="J103" s="366">
        <v>1</v>
      </c>
      <c r="K103" s="370">
        <f t="shared" si="17"/>
        <v>0.35460992907801425</v>
      </c>
      <c r="L103" s="371">
        <v>5</v>
      </c>
      <c r="M103" s="371">
        <v>0</v>
      </c>
      <c r="N103" s="366">
        <f t="shared" si="13"/>
        <v>1</v>
      </c>
      <c r="O103" s="370">
        <f t="shared" si="14"/>
        <v>0</v>
      </c>
      <c r="P103" s="370">
        <f t="shared" si="15"/>
        <v>0</v>
      </c>
      <c r="Q103" s="366">
        <f t="shared" si="18"/>
        <v>1</v>
      </c>
      <c r="R103" s="370">
        <f t="shared" si="12"/>
        <v>0</v>
      </c>
      <c r="S103" s="366">
        <f t="shared" si="19"/>
        <v>0</v>
      </c>
      <c r="T103" s="366">
        <v>0</v>
      </c>
      <c r="U103" s="370">
        <f t="shared" si="16"/>
        <v>0</v>
      </c>
      <c r="V103" s="370"/>
      <c r="W103" s="372"/>
      <c r="X103" s="370"/>
      <c r="Y103" s="370"/>
      <c r="Z103" s="370"/>
      <c r="AA103" s="370"/>
      <c r="AB103" s="370"/>
      <c r="AC103" s="370"/>
      <c r="AD103" s="370"/>
      <c r="AE103" s="370"/>
      <c r="AF103" s="370"/>
      <c r="AG103" s="370"/>
      <c r="AH103" s="370"/>
      <c r="AI103" s="370"/>
      <c r="AJ103" s="366"/>
      <c r="AK103" s="366"/>
      <c r="AL103" s="360"/>
      <c r="AM103" s="305" t="s">
        <v>823</v>
      </c>
      <c r="AN103" s="305"/>
      <c r="AO103" s="305"/>
      <c r="AP103" s="305"/>
      <c r="AQ103" s="305"/>
      <c r="AR103" s="305"/>
      <c r="AS103" s="305"/>
      <c r="AT103" s="305"/>
      <c r="AU103" s="305"/>
      <c r="AV103" s="305"/>
    </row>
    <row r="104" spans="1:48" s="306" customFormat="1" ht="39" hidden="1">
      <c r="A104" s="304" t="s">
        <v>343</v>
      </c>
      <c r="B104" s="304" t="s">
        <v>714</v>
      </c>
      <c r="C104" s="341" t="s">
        <v>797</v>
      </c>
      <c r="D104" s="284"/>
      <c r="E104" s="284"/>
      <c r="F104" s="284"/>
      <c r="G104" s="284"/>
      <c r="H104" s="284"/>
      <c r="I104" s="284"/>
      <c r="J104" s="366">
        <v>1</v>
      </c>
      <c r="K104" s="370">
        <f t="shared" si="17"/>
        <v>7.0921985815602856E-2</v>
      </c>
      <c r="L104" s="371">
        <v>1</v>
      </c>
      <c r="M104" s="371">
        <v>0</v>
      </c>
      <c r="N104" s="366">
        <f t="shared" si="13"/>
        <v>1</v>
      </c>
      <c r="O104" s="370">
        <f t="shared" si="14"/>
        <v>0</v>
      </c>
      <c r="P104" s="370">
        <f t="shared" si="15"/>
        <v>0</v>
      </c>
      <c r="Q104" s="366">
        <f t="shared" si="18"/>
        <v>1</v>
      </c>
      <c r="R104" s="370">
        <f t="shared" si="12"/>
        <v>0</v>
      </c>
      <c r="S104" s="366">
        <f t="shared" si="19"/>
        <v>0</v>
      </c>
      <c r="T104" s="366">
        <v>0</v>
      </c>
      <c r="U104" s="370">
        <f t="shared" si="16"/>
        <v>0</v>
      </c>
      <c r="V104" s="370"/>
      <c r="W104" s="372"/>
      <c r="X104" s="370"/>
      <c r="Y104" s="370"/>
      <c r="Z104" s="370"/>
      <c r="AA104" s="370"/>
      <c r="AB104" s="370"/>
      <c r="AC104" s="370"/>
      <c r="AD104" s="370"/>
      <c r="AE104" s="370"/>
      <c r="AF104" s="370"/>
      <c r="AG104" s="370"/>
      <c r="AH104" s="370"/>
      <c r="AI104" s="370"/>
      <c r="AJ104" s="366"/>
      <c r="AK104" s="366"/>
      <c r="AL104" s="360"/>
      <c r="AM104" s="305" t="s">
        <v>823</v>
      </c>
      <c r="AN104" s="305"/>
      <c r="AO104" s="305"/>
      <c r="AP104" s="305"/>
      <c r="AQ104" s="305"/>
      <c r="AR104" s="305"/>
      <c r="AS104" s="305"/>
      <c r="AT104" s="305"/>
      <c r="AU104" s="305"/>
      <c r="AV104" s="305"/>
    </row>
    <row r="105" spans="1:48" s="306" customFormat="1" ht="58.5" hidden="1">
      <c r="A105" s="304" t="s">
        <v>716</v>
      </c>
      <c r="B105" s="304" t="s">
        <v>717</v>
      </c>
      <c r="C105" s="341" t="s">
        <v>797</v>
      </c>
      <c r="D105" s="284"/>
      <c r="E105" s="284"/>
      <c r="F105" s="284"/>
      <c r="G105" s="284"/>
      <c r="H105" s="284"/>
      <c r="I105" s="284"/>
      <c r="J105" s="366">
        <v>1</v>
      </c>
      <c r="K105" s="370">
        <f t="shared" si="17"/>
        <v>0.35460992907801425</v>
      </c>
      <c r="L105" s="371">
        <v>5</v>
      </c>
      <c r="M105" s="371">
        <v>0</v>
      </c>
      <c r="N105" s="366">
        <f t="shared" si="13"/>
        <v>1</v>
      </c>
      <c r="O105" s="370">
        <f t="shared" si="14"/>
        <v>0</v>
      </c>
      <c r="P105" s="370">
        <f t="shared" si="15"/>
        <v>0</v>
      </c>
      <c r="Q105" s="366">
        <f t="shared" si="18"/>
        <v>1</v>
      </c>
      <c r="R105" s="370">
        <f t="shared" si="12"/>
        <v>0</v>
      </c>
      <c r="S105" s="366">
        <f t="shared" si="19"/>
        <v>0</v>
      </c>
      <c r="T105" s="366">
        <v>0</v>
      </c>
      <c r="U105" s="370">
        <f t="shared" si="16"/>
        <v>0</v>
      </c>
      <c r="V105" s="370"/>
      <c r="W105" s="372"/>
      <c r="X105" s="370"/>
      <c r="Y105" s="370"/>
      <c r="Z105" s="370"/>
      <c r="AA105" s="370"/>
      <c r="AB105" s="370"/>
      <c r="AC105" s="370"/>
      <c r="AD105" s="370"/>
      <c r="AE105" s="370"/>
      <c r="AF105" s="370"/>
      <c r="AG105" s="370"/>
      <c r="AH105" s="370"/>
      <c r="AI105" s="370"/>
      <c r="AJ105" s="366"/>
      <c r="AK105" s="366"/>
      <c r="AL105" s="360"/>
      <c r="AM105" s="305" t="s">
        <v>823</v>
      </c>
      <c r="AN105" s="305"/>
      <c r="AO105" s="305"/>
      <c r="AP105" s="305"/>
      <c r="AQ105" s="305"/>
      <c r="AR105" s="305"/>
      <c r="AS105" s="305"/>
      <c r="AT105" s="305"/>
      <c r="AU105" s="305"/>
      <c r="AV105" s="305"/>
    </row>
    <row r="106" spans="1:48" s="306" customFormat="1" ht="78" hidden="1">
      <c r="A106" s="304" t="s">
        <v>718</v>
      </c>
      <c r="B106" s="304" t="s">
        <v>719</v>
      </c>
      <c r="C106" s="341" t="s">
        <v>797</v>
      </c>
      <c r="D106" s="284"/>
      <c r="E106" s="284"/>
      <c r="F106" s="284"/>
      <c r="G106" s="284"/>
      <c r="H106" s="284"/>
      <c r="I106" s="284"/>
      <c r="J106" s="366">
        <v>1</v>
      </c>
      <c r="K106" s="370">
        <f t="shared" si="17"/>
        <v>0.35460992907801425</v>
      </c>
      <c r="L106" s="371">
        <v>5</v>
      </c>
      <c r="M106" s="371">
        <v>0</v>
      </c>
      <c r="N106" s="366">
        <f t="shared" si="13"/>
        <v>1</v>
      </c>
      <c r="O106" s="370">
        <f t="shared" si="14"/>
        <v>0</v>
      </c>
      <c r="P106" s="370">
        <f t="shared" si="15"/>
        <v>0</v>
      </c>
      <c r="Q106" s="366">
        <f t="shared" si="18"/>
        <v>1</v>
      </c>
      <c r="R106" s="370">
        <f t="shared" si="12"/>
        <v>0</v>
      </c>
      <c r="S106" s="366">
        <f t="shared" si="19"/>
        <v>0</v>
      </c>
      <c r="T106" s="366">
        <v>0</v>
      </c>
      <c r="U106" s="370">
        <f t="shared" si="16"/>
        <v>0</v>
      </c>
      <c r="V106" s="370"/>
      <c r="W106" s="372"/>
      <c r="X106" s="370"/>
      <c r="Y106" s="370"/>
      <c r="Z106" s="370"/>
      <c r="AA106" s="370"/>
      <c r="AB106" s="370"/>
      <c r="AC106" s="370"/>
      <c r="AD106" s="370"/>
      <c r="AE106" s="370"/>
      <c r="AF106" s="370"/>
      <c r="AG106" s="370"/>
      <c r="AH106" s="370"/>
      <c r="AI106" s="370"/>
      <c r="AJ106" s="366"/>
      <c r="AK106" s="366"/>
      <c r="AL106" s="360"/>
      <c r="AM106" s="305" t="s">
        <v>823</v>
      </c>
      <c r="AN106" s="305"/>
      <c r="AO106" s="305"/>
      <c r="AP106" s="305"/>
      <c r="AQ106" s="305"/>
      <c r="AR106" s="305"/>
      <c r="AS106" s="305"/>
      <c r="AT106" s="305"/>
      <c r="AU106" s="305"/>
      <c r="AV106" s="305"/>
    </row>
    <row r="107" spans="1:48" s="306" customFormat="1" ht="39" hidden="1">
      <c r="A107" s="304" t="s">
        <v>345</v>
      </c>
      <c r="B107" s="304" t="s">
        <v>720</v>
      </c>
      <c r="C107" s="341" t="s">
        <v>797</v>
      </c>
      <c r="D107" s="284"/>
      <c r="E107" s="284"/>
      <c r="F107" s="284"/>
      <c r="G107" s="284"/>
      <c r="H107" s="284"/>
      <c r="I107" s="284"/>
      <c r="J107" s="366">
        <v>0.1</v>
      </c>
      <c r="K107" s="370">
        <f t="shared" si="17"/>
        <v>7.0921985815602853E-3</v>
      </c>
      <c r="L107" s="371">
        <v>0.1</v>
      </c>
      <c r="M107" s="371">
        <v>0</v>
      </c>
      <c r="N107" s="366">
        <f t="shared" si="13"/>
        <v>0.1</v>
      </c>
      <c r="O107" s="370">
        <f t="shared" si="14"/>
        <v>0</v>
      </c>
      <c r="P107" s="370">
        <f t="shared" si="15"/>
        <v>0</v>
      </c>
      <c r="Q107" s="366">
        <f t="shared" si="18"/>
        <v>0.1</v>
      </c>
      <c r="R107" s="370">
        <f t="shared" si="12"/>
        <v>0</v>
      </c>
      <c r="S107" s="366">
        <f t="shared" si="19"/>
        <v>0</v>
      </c>
      <c r="T107" s="366">
        <v>0</v>
      </c>
      <c r="U107" s="370">
        <f t="shared" si="16"/>
        <v>0</v>
      </c>
      <c r="V107" s="370"/>
      <c r="W107" s="372"/>
      <c r="X107" s="370"/>
      <c r="Y107" s="370"/>
      <c r="Z107" s="370"/>
      <c r="AA107" s="370"/>
      <c r="AB107" s="370"/>
      <c r="AC107" s="370"/>
      <c r="AD107" s="370"/>
      <c r="AE107" s="370"/>
      <c r="AF107" s="370"/>
      <c r="AG107" s="370"/>
      <c r="AH107" s="370"/>
      <c r="AI107" s="370"/>
      <c r="AJ107" s="366"/>
      <c r="AK107" s="366"/>
      <c r="AL107" s="360"/>
      <c r="AM107" s="305" t="s">
        <v>823</v>
      </c>
      <c r="AN107" s="305"/>
      <c r="AO107" s="305"/>
      <c r="AP107" s="305"/>
      <c r="AQ107" s="305"/>
      <c r="AR107" s="305"/>
      <c r="AS107" s="305"/>
      <c r="AT107" s="305"/>
      <c r="AU107" s="305"/>
      <c r="AV107" s="305"/>
    </row>
    <row r="108" spans="1:48" s="306" customFormat="1" ht="39" hidden="1">
      <c r="A108" s="304" t="s">
        <v>347</v>
      </c>
      <c r="B108" s="304" t="s">
        <v>721</v>
      </c>
      <c r="C108" s="341" t="s">
        <v>797</v>
      </c>
      <c r="D108" s="284"/>
      <c r="E108" s="284"/>
      <c r="F108" s="284"/>
      <c r="G108" s="284"/>
      <c r="H108" s="284"/>
      <c r="I108" s="284"/>
      <c r="J108" s="366">
        <v>1</v>
      </c>
      <c r="K108" s="370">
        <f t="shared" si="17"/>
        <v>7.0921985815602856E-2</v>
      </c>
      <c r="L108" s="371">
        <v>1</v>
      </c>
      <c r="M108" s="371">
        <v>0</v>
      </c>
      <c r="N108" s="366">
        <f t="shared" si="13"/>
        <v>1</v>
      </c>
      <c r="O108" s="370">
        <f t="shared" si="14"/>
        <v>0</v>
      </c>
      <c r="P108" s="370">
        <f t="shared" si="15"/>
        <v>0</v>
      </c>
      <c r="Q108" s="366">
        <f t="shared" si="18"/>
        <v>1</v>
      </c>
      <c r="R108" s="370">
        <f t="shared" si="12"/>
        <v>0</v>
      </c>
      <c r="S108" s="366">
        <f t="shared" si="19"/>
        <v>0</v>
      </c>
      <c r="T108" s="366">
        <v>0</v>
      </c>
      <c r="U108" s="370">
        <f t="shared" si="16"/>
        <v>0</v>
      </c>
      <c r="V108" s="370"/>
      <c r="W108" s="372"/>
      <c r="X108" s="370"/>
      <c r="Y108" s="370"/>
      <c r="Z108" s="370"/>
      <c r="AA108" s="370"/>
      <c r="AB108" s="370"/>
      <c r="AC108" s="370"/>
      <c r="AD108" s="370"/>
      <c r="AE108" s="370"/>
      <c r="AF108" s="370"/>
      <c r="AG108" s="370"/>
      <c r="AH108" s="370"/>
      <c r="AI108" s="370"/>
      <c r="AJ108" s="366"/>
      <c r="AK108" s="366"/>
      <c r="AL108" s="360"/>
      <c r="AM108" s="305" t="s">
        <v>823</v>
      </c>
      <c r="AN108" s="305"/>
      <c r="AO108" s="305"/>
      <c r="AP108" s="305"/>
      <c r="AQ108" s="305"/>
      <c r="AR108" s="305"/>
      <c r="AS108" s="305"/>
      <c r="AT108" s="305"/>
      <c r="AU108" s="305"/>
      <c r="AV108" s="305"/>
    </row>
    <row r="109" spans="1:48" s="306" customFormat="1" ht="58.5" hidden="1">
      <c r="A109" s="304" t="s">
        <v>349</v>
      </c>
      <c r="B109" s="304" t="s">
        <v>722</v>
      </c>
      <c r="C109" s="341" t="s">
        <v>797</v>
      </c>
      <c r="D109" s="284"/>
      <c r="E109" s="284"/>
      <c r="F109" s="284"/>
      <c r="G109" s="284"/>
      <c r="H109" s="284"/>
      <c r="I109" s="284"/>
      <c r="J109" s="366">
        <v>1</v>
      </c>
      <c r="K109" s="370">
        <f t="shared" si="17"/>
        <v>7.0921985815602856E-2</v>
      </c>
      <c r="L109" s="371">
        <v>1</v>
      </c>
      <c r="M109" s="371">
        <v>0</v>
      </c>
      <c r="N109" s="366">
        <f t="shared" si="13"/>
        <v>1</v>
      </c>
      <c r="O109" s="370">
        <f t="shared" si="14"/>
        <v>0</v>
      </c>
      <c r="P109" s="370">
        <f t="shared" si="15"/>
        <v>0</v>
      </c>
      <c r="Q109" s="366">
        <f t="shared" si="18"/>
        <v>1</v>
      </c>
      <c r="R109" s="370">
        <f t="shared" si="12"/>
        <v>0</v>
      </c>
      <c r="S109" s="366">
        <f t="shared" si="19"/>
        <v>0</v>
      </c>
      <c r="T109" s="366">
        <v>0</v>
      </c>
      <c r="U109" s="370">
        <f t="shared" si="16"/>
        <v>0</v>
      </c>
      <c r="V109" s="370"/>
      <c r="W109" s="372"/>
      <c r="X109" s="370"/>
      <c r="Y109" s="370"/>
      <c r="Z109" s="370"/>
      <c r="AA109" s="370"/>
      <c r="AB109" s="370"/>
      <c r="AC109" s="370"/>
      <c r="AD109" s="370"/>
      <c r="AE109" s="370"/>
      <c r="AF109" s="370"/>
      <c r="AG109" s="370"/>
      <c r="AH109" s="370"/>
      <c r="AI109" s="370"/>
      <c r="AJ109" s="366"/>
      <c r="AK109" s="366"/>
      <c r="AL109" s="360"/>
      <c r="AM109" s="305" t="s">
        <v>823</v>
      </c>
      <c r="AN109" s="305"/>
      <c r="AO109" s="305"/>
      <c r="AP109" s="305"/>
      <c r="AQ109" s="305"/>
      <c r="AR109" s="305"/>
      <c r="AS109" s="305"/>
      <c r="AT109" s="305"/>
      <c r="AU109" s="305"/>
      <c r="AV109" s="305"/>
    </row>
    <row r="110" spans="1:48" s="306" customFormat="1" ht="58.5" hidden="1">
      <c r="A110" s="304" t="s">
        <v>351</v>
      </c>
      <c r="B110" s="304" t="s">
        <v>723</v>
      </c>
      <c r="C110" s="341" t="s">
        <v>797</v>
      </c>
      <c r="D110" s="284"/>
      <c r="E110" s="284"/>
      <c r="F110" s="284"/>
      <c r="G110" s="284"/>
      <c r="H110" s="284"/>
      <c r="I110" s="284"/>
      <c r="J110" s="366">
        <v>5.55</v>
      </c>
      <c r="K110" s="370">
        <f t="shared" si="17"/>
        <v>0.39361702127659576</v>
      </c>
      <c r="L110" s="371">
        <v>5.55</v>
      </c>
      <c r="M110" s="371">
        <v>3.5</v>
      </c>
      <c r="N110" s="366">
        <f t="shared" si="13"/>
        <v>5.55</v>
      </c>
      <c r="O110" s="370">
        <f t="shared" si="14"/>
        <v>0.49645390070921996</v>
      </c>
      <c r="P110" s="370">
        <f t="shared" si="15"/>
        <v>3.5</v>
      </c>
      <c r="Q110" s="366">
        <f t="shared" si="18"/>
        <v>5.55</v>
      </c>
      <c r="R110" s="370">
        <f t="shared" si="12"/>
        <v>0.49645390070921996</v>
      </c>
      <c r="S110" s="366">
        <f t="shared" si="19"/>
        <v>100</v>
      </c>
      <c r="T110" s="366">
        <v>3.38</v>
      </c>
      <c r="U110" s="370">
        <f t="shared" si="16"/>
        <v>96.571428571428569</v>
      </c>
      <c r="V110" s="370"/>
      <c r="W110" s="372"/>
      <c r="X110" s="370"/>
      <c r="Y110" s="370"/>
      <c r="Z110" s="370"/>
      <c r="AA110" s="370"/>
      <c r="AB110" s="370"/>
      <c r="AC110" s="370"/>
      <c r="AD110" s="370"/>
      <c r="AE110" s="370"/>
      <c r="AF110" s="370"/>
      <c r="AG110" s="370"/>
      <c r="AH110" s="370"/>
      <c r="AI110" s="370"/>
      <c r="AJ110" s="366"/>
      <c r="AK110" s="366"/>
      <c r="AL110" s="360"/>
      <c r="AM110" s="305" t="s">
        <v>823</v>
      </c>
      <c r="AN110" s="305"/>
      <c r="AO110" s="305"/>
      <c r="AP110" s="305"/>
      <c r="AQ110" s="305"/>
      <c r="AR110" s="305"/>
      <c r="AS110" s="305"/>
      <c r="AT110" s="305"/>
      <c r="AU110" s="305"/>
      <c r="AV110" s="305"/>
    </row>
    <row r="111" spans="1:48" s="306" customFormat="1" ht="58.5" hidden="1">
      <c r="A111" s="304" t="s">
        <v>353</v>
      </c>
      <c r="B111" s="304" t="s">
        <v>724</v>
      </c>
      <c r="C111" s="341" t="s">
        <v>797</v>
      </c>
      <c r="D111" s="284"/>
      <c r="E111" s="284"/>
      <c r="F111" s="284"/>
      <c r="G111" s="284"/>
      <c r="H111" s="284"/>
      <c r="I111" s="284"/>
      <c r="J111" s="366">
        <v>1</v>
      </c>
      <c r="K111" s="370">
        <f t="shared" si="17"/>
        <v>7.0921985815602856E-2</v>
      </c>
      <c r="L111" s="371">
        <v>1</v>
      </c>
      <c r="M111" s="371">
        <v>0</v>
      </c>
      <c r="N111" s="366">
        <f t="shared" si="13"/>
        <v>1</v>
      </c>
      <c r="O111" s="370">
        <f t="shared" si="14"/>
        <v>0</v>
      </c>
      <c r="P111" s="370">
        <f t="shared" si="15"/>
        <v>0</v>
      </c>
      <c r="Q111" s="366">
        <f t="shared" si="18"/>
        <v>1</v>
      </c>
      <c r="R111" s="370">
        <f t="shared" si="12"/>
        <v>0</v>
      </c>
      <c r="S111" s="366">
        <f t="shared" si="19"/>
        <v>0</v>
      </c>
      <c r="T111" s="366">
        <v>0</v>
      </c>
      <c r="U111" s="370">
        <f t="shared" si="16"/>
        <v>0</v>
      </c>
      <c r="V111" s="370"/>
      <c r="W111" s="372"/>
      <c r="X111" s="370"/>
      <c r="Y111" s="370"/>
      <c r="Z111" s="370"/>
      <c r="AA111" s="370"/>
      <c r="AB111" s="370"/>
      <c r="AC111" s="370"/>
      <c r="AD111" s="370"/>
      <c r="AE111" s="370"/>
      <c r="AF111" s="370"/>
      <c r="AG111" s="370"/>
      <c r="AH111" s="370"/>
      <c r="AI111" s="370"/>
      <c r="AJ111" s="366"/>
      <c r="AK111" s="366"/>
      <c r="AL111" s="360"/>
      <c r="AM111" s="305" t="s">
        <v>823</v>
      </c>
      <c r="AN111" s="305"/>
      <c r="AO111" s="305"/>
      <c r="AP111" s="305"/>
      <c r="AQ111" s="305"/>
      <c r="AR111" s="305"/>
      <c r="AS111" s="305"/>
      <c r="AT111" s="305"/>
      <c r="AU111" s="305"/>
      <c r="AV111" s="305"/>
    </row>
    <row r="112" spans="1:48" s="306" customFormat="1" ht="58.5" hidden="1">
      <c r="A112" s="304" t="s">
        <v>355</v>
      </c>
      <c r="B112" s="304" t="s">
        <v>725</v>
      </c>
      <c r="C112" s="341" t="s">
        <v>797</v>
      </c>
      <c r="D112" s="284"/>
      <c r="E112" s="284"/>
      <c r="F112" s="284"/>
      <c r="G112" s="284"/>
      <c r="H112" s="284"/>
      <c r="I112" s="284"/>
      <c r="J112" s="366">
        <v>1</v>
      </c>
      <c r="K112" s="370">
        <f t="shared" si="17"/>
        <v>7.0921985815602856E-2</v>
      </c>
      <c r="L112" s="371">
        <v>1</v>
      </c>
      <c r="M112" s="371">
        <v>0</v>
      </c>
      <c r="N112" s="366">
        <f t="shared" si="13"/>
        <v>1</v>
      </c>
      <c r="O112" s="370">
        <f t="shared" si="14"/>
        <v>0</v>
      </c>
      <c r="P112" s="370">
        <f t="shared" si="15"/>
        <v>0</v>
      </c>
      <c r="Q112" s="366">
        <f t="shared" si="18"/>
        <v>1</v>
      </c>
      <c r="R112" s="370">
        <f t="shared" si="12"/>
        <v>0</v>
      </c>
      <c r="S112" s="366">
        <f t="shared" si="19"/>
        <v>0</v>
      </c>
      <c r="T112" s="366">
        <v>0</v>
      </c>
      <c r="U112" s="370">
        <f t="shared" si="16"/>
        <v>0</v>
      </c>
      <c r="V112" s="370"/>
      <c r="W112" s="372"/>
      <c r="X112" s="370"/>
      <c r="Y112" s="370"/>
      <c r="Z112" s="370"/>
      <c r="AA112" s="370"/>
      <c r="AB112" s="370"/>
      <c r="AC112" s="370"/>
      <c r="AD112" s="370"/>
      <c r="AE112" s="370"/>
      <c r="AF112" s="370"/>
      <c r="AG112" s="370"/>
      <c r="AH112" s="370"/>
      <c r="AI112" s="370"/>
      <c r="AJ112" s="366"/>
      <c r="AK112" s="366"/>
      <c r="AL112" s="360"/>
      <c r="AM112" s="305" t="s">
        <v>823</v>
      </c>
      <c r="AN112" s="305"/>
      <c r="AO112" s="305"/>
      <c r="AP112" s="305"/>
      <c r="AQ112" s="305"/>
      <c r="AR112" s="305"/>
      <c r="AS112" s="305"/>
      <c r="AT112" s="305"/>
      <c r="AU112" s="305"/>
      <c r="AV112" s="305"/>
    </row>
    <row r="113" spans="1:48" s="306" customFormat="1" ht="58.5" hidden="1">
      <c r="A113" s="304" t="s">
        <v>357</v>
      </c>
      <c r="B113" s="304" t="s">
        <v>726</v>
      </c>
      <c r="C113" s="341" t="s">
        <v>797</v>
      </c>
      <c r="D113" s="284"/>
      <c r="E113" s="284"/>
      <c r="F113" s="284"/>
      <c r="G113" s="284"/>
      <c r="H113" s="284"/>
      <c r="I113" s="284"/>
      <c r="J113" s="366">
        <v>1</v>
      </c>
      <c r="K113" s="370">
        <f t="shared" si="17"/>
        <v>7.0921985815602856E-2</v>
      </c>
      <c r="L113" s="371">
        <v>1</v>
      </c>
      <c r="M113" s="371">
        <v>0</v>
      </c>
      <c r="N113" s="366">
        <f t="shared" si="13"/>
        <v>1</v>
      </c>
      <c r="O113" s="370">
        <f t="shared" si="14"/>
        <v>0</v>
      </c>
      <c r="P113" s="370">
        <f t="shared" si="15"/>
        <v>0</v>
      </c>
      <c r="Q113" s="366">
        <f t="shared" si="18"/>
        <v>1</v>
      </c>
      <c r="R113" s="370">
        <f t="shared" si="12"/>
        <v>0</v>
      </c>
      <c r="S113" s="366">
        <f t="shared" si="19"/>
        <v>0</v>
      </c>
      <c r="T113" s="366">
        <v>0</v>
      </c>
      <c r="U113" s="370">
        <f t="shared" si="16"/>
        <v>0</v>
      </c>
      <c r="V113" s="370"/>
      <c r="W113" s="372"/>
      <c r="X113" s="370"/>
      <c r="Y113" s="370"/>
      <c r="Z113" s="370"/>
      <c r="AA113" s="370"/>
      <c r="AB113" s="370"/>
      <c r="AC113" s="370"/>
      <c r="AD113" s="370"/>
      <c r="AE113" s="370"/>
      <c r="AF113" s="370"/>
      <c r="AG113" s="370"/>
      <c r="AH113" s="370"/>
      <c r="AI113" s="370"/>
      <c r="AJ113" s="366"/>
      <c r="AK113" s="366"/>
      <c r="AL113" s="360"/>
      <c r="AM113" s="305" t="s">
        <v>823</v>
      </c>
      <c r="AN113" s="305"/>
      <c r="AO113" s="305"/>
      <c r="AP113" s="305"/>
      <c r="AQ113" s="305"/>
      <c r="AR113" s="305"/>
      <c r="AS113" s="305"/>
      <c r="AT113" s="305"/>
      <c r="AU113" s="305"/>
      <c r="AV113" s="305"/>
    </row>
    <row r="114" spans="1:48" s="306" customFormat="1" ht="39" hidden="1">
      <c r="A114" s="304" t="s">
        <v>359</v>
      </c>
      <c r="B114" s="304" t="s">
        <v>727</v>
      </c>
      <c r="C114" s="341" t="s">
        <v>797</v>
      </c>
      <c r="D114" s="284"/>
      <c r="E114" s="284"/>
      <c r="F114" s="284"/>
      <c r="G114" s="284"/>
      <c r="H114" s="284"/>
      <c r="I114" s="284"/>
      <c r="J114" s="366">
        <v>5</v>
      </c>
      <c r="K114" s="370">
        <f t="shared" si="17"/>
        <v>0.35460992907801425</v>
      </c>
      <c r="L114" s="371">
        <v>5</v>
      </c>
      <c r="M114" s="371">
        <v>5</v>
      </c>
      <c r="N114" s="366">
        <f t="shared" si="13"/>
        <v>5</v>
      </c>
      <c r="O114" s="370">
        <f t="shared" si="14"/>
        <v>0.7092198581560285</v>
      </c>
      <c r="P114" s="370">
        <f t="shared" si="15"/>
        <v>5</v>
      </c>
      <c r="Q114" s="366">
        <f t="shared" si="18"/>
        <v>5</v>
      </c>
      <c r="R114" s="370">
        <f t="shared" si="12"/>
        <v>0.7092198581560285</v>
      </c>
      <c r="S114" s="366">
        <f t="shared" si="19"/>
        <v>100</v>
      </c>
      <c r="T114" s="366">
        <v>4.91</v>
      </c>
      <c r="U114" s="370">
        <f t="shared" si="16"/>
        <v>98.2</v>
      </c>
      <c r="V114" s="370"/>
      <c r="W114" s="372"/>
      <c r="X114" s="370"/>
      <c r="Y114" s="370"/>
      <c r="Z114" s="370"/>
      <c r="AA114" s="370"/>
      <c r="AB114" s="370"/>
      <c r="AC114" s="370"/>
      <c r="AD114" s="370"/>
      <c r="AE114" s="370"/>
      <c r="AF114" s="370"/>
      <c r="AG114" s="370"/>
      <c r="AH114" s="370"/>
      <c r="AI114" s="370"/>
      <c r="AJ114" s="366"/>
      <c r="AK114" s="366"/>
      <c r="AL114" s="360"/>
      <c r="AM114" s="305" t="s">
        <v>823</v>
      </c>
      <c r="AN114" s="305"/>
      <c r="AO114" s="305"/>
      <c r="AP114" s="305"/>
      <c r="AQ114" s="305"/>
      <c r="AR114" s="305"/>
      <c r="AS114" s="305"/>
      <c r="AT114" s="305"/>
      <c r="AU114" s="305"/>
      <c r="AV114" s="305"/>
    </row>
    <row r="115" spans="1:48" s="306" customFormat="1" ht="31.15" hidden="1" customHeight="1">
      <c r="A115" s="304" t="s">
        <v>361</v>
      </c>
      <c r="B115" s="304" t="s">
        <v>728</v>
      </c>
      <c r="C115" s="341" t="s">
        <v>797</v>
      </c>
      <c r="D115" s="284"/>
      <c r="E115" s="284"/>
      <c r="F115" s="284"/>
      <c r="G115" s="284"/>
      <c r="H115" s="284"/>
      <c r="I115" s="284"/>
      <c r="J115" s="366">
        <v>0.5</v>
      </c>
      <c r="K115" s="370">
        <f t="shared" si="17"/>
        <v>0.24822695035460998</v>
      </c>
      <c r="L115" s="371">
        <v>3.5</v>
      </c>
      <c r="M115" s="371">
        <v>0</v>
      </c>
      <c r="N115" s="366">
        <f t="shared" si="13"/>
        <v>0.5</v>
      </c>
      <c r="O115" s="370">
        <f t="shared" si="14"/>
        <v>0</v>
      </c>
      <c r="P115" s="370">
        <f t="shared" si="15"/>
        <v>0</v>
      </c>
      <c r="Q115" s="366">
        <f t="shared" si="18"/>
        <v>0.5</v>
      </c>
      <c r="R115" s="370">
        <f t="shared" si="12"/>
        <v>0</v>
      </c>
      <c r="S115" s="366">
        <f t="shared" si="19"/>
        <v>0</v>
      </c>
      <c r="T115" s="366">
        <v>0</v>
      </c>
      <c r="U115" s="370">
        <f t="shared" si="16"/>
        <v>0</v>
      </c>
      <c r="V115" s="370"/>
      <c r="W115" s="372"/>
      <c r="X115" s="370"/>
      <c r="Y115" s="370"/>
      <c r="Z115" s="370"/>
      <c r="AA115" s="370"/>
      <c r="AB115" s="370"/>
      <c r="AC115" s="370"/>
      <c r="AD115" s="370"/>
      <c r="AE115" s="370"/>
      <c r="AF115" s="370"/>
      <c r="AG115" s="370"/>
      <c r="AH115" s="370"/>
      <c r="AI115" s="370"/>
      <c r="AJ115" s="366"/>
      <c r="AK115" s="366"/>
      <c r="AL115" s="360"/>
      <c r="AM115" s="305" t="s">
        <v>823</v>
      </c>
      <c r="AN115" s="305"/>
      <c r="AO115" s="305"/>
      <c r="AP115" s="305"/>
      <c r="AQ115" s="305"/>
      <c r="AR115" s="305"/>
      <c r="AS115" s="305"/>
      <c r="AT115" s="305"/>
      <c r="AU115" s="305"/>
      <c r="AV115" s="305"/>
    </row>
    <row r="116" spans="1:48" s="306" customFormat="1" ht="39" hidden="1">
      <c r="A116" s="304" t="s">
        <v>363</v>
      </c>
      <c r="B116" s="304" t="s">
        <v>729</v>
      </c>
      <c r="C116" s="341" t="s">
        <v>797</v>
      </c>
      <c r="D116" s="284"/>
      <c r="E116" s="284"/>
      <c r="F116" s="284"/>
      <c r="G116" s="284"/>
      <c r="H116" s="284"/>
      <c r="I116" s="284"/>
      <c r="J116" s="366">
        <v>5</v>
      </c>
      <c r="K116" s="370">
        <f t="shared" si="17"/>
        <v>0.35460992907801425</v>
      </c>
      <c r="L116" s="371">
        <v>5</v>
      </c>
      <c r="M116" s="371">
        <v>5</v>
      </c>
      <c r="N116" s="366">
        <f t="shared" si="13"/>
        <v>5</v>
      </c>
      <c r="O116" s="370">
        <f t="shared" si="14"/>
        <v>0.7092198581560285</v>
      </c>
      <c r="P116" s="370">
        <f t="shared" si="15"/>
        <v>5</v>
      </c>
      <c r="Q116" s="366">
        <f t="shared" si="18"/>
        <v>5</v>
      </c>
      <c r="R116" s="370">
        <f t="shared" si="12"/>
        <v>0.7092198581560285</v>
      </c>
      <c r="S116" s="366">
        <f t="shared" si="19"/>
        <v>100</v>
      </c>
      <c r="T116" s="366">
        <v>4.96</v>
      </c>
      <c r="U116" s="370">
        <f t="shared" si="16"/>
        <v>99.2</v>
      </c>
      <c r="V116" s="370"/>
      <c r="W116" s="372"/>
      <c r="X116" s="370"/>
      <c r="Y116" s="370"/>
      <c r="Z116" s="370"/>
      <c r="AA116" s="370"/>
      <c r="AB116" s="370"/>
      <c r="AC116" s="370"/>
      <c r="AD116" s="370"/>
      <c r="AE116" s="370"/>
      <c r="AF116" s="370"/>
      <c r="AG116" s="370"/>
      <c r="AH116" s="370"/>
      <c r="AI116" s="370"/>
      <c r="AJ116" s="366"/>
      <c r="AK116" s="366"/>
      <c r="AL116" s="360"/>
      <c r="AM116" s="305" t="s">
        <v>823</v>
      </c>
      <c r="AN116" s="305"/>
      <c r="AO116" s="305"/>
      <c r="AP116" s="305"/>
      <c r="AQ116" s="305"/>
      <c r="AR116" s="305"/>
      <c r="AS116" s="305"/>
      <c r="AT116" s="305"/>
      <c r="AU116" s="305"/>
      <c r="AV116" s="305"/>
    </row>
    <row r="117" spans="1:48" s="306" customFormat="1" ht="58.5" hidden="1">
      <c r="A117" s="304" t="s">
        <v>365</v>
      </c>
      <c r="B117" s="304" t="s">
        <v>730</v>
      </c>
      <c r="C117" s="341" t="s">
        <v>797</v>
      </c>
      <c r="D117" s="284"/>
      <c r="E117" s="284"/>
      <c r="F117" s="284"/>
      <c r="G117" s="284"/>
      <c r="H117" s="284"/>
      <c r="I117" s="284"/>
      <c r="J117" s="366">
        <v>1</v>
      </c>
      <c r="K117" s="370">
        <f t="shared" si="17"/>
        <v>7.0921985815602856E-2</v>
      </c>
      <c r="L117" s="371">
        <v>1</v>
      </c>
      <c r="M117" s="371">
        <v>0</v>
      </c>
      <c r="N117" s="366">
        <f t="shared" si="13"/>
        <v>1</v>
      </c>
      <c r="O117" s="370">
        <f t="shared" si="14"/>
        <v>0</v>
      </c>
      <c r="P117" s="370">
        <f t="shared" si="15"/>
        <v>0</v>
      </c>
      <c r="Q117" s="366">
        <f t="shared" si="18"/>
        <v>1</v>
      </c>
      <c r="R117" s="370">
        <f t="shared" si="12"/>
        <v>0</v>
      </c>
      <c r="S117" s="366">
        <f t="shared" si="19"/>
        <v>0</v>
      </c>
      <c r="T117" s="366">
        <v>0</v>
      </c>
      <c r="U117" s="370">
        <f t="shared" si="16"/>
        <v>0</v>
      </c>
      <c r="V117" s="370"/>
      <c r="W117" s="372"/>
      <c r="X117" s="370"/>
      <c r="Y117" s="370"/>
      <c r="Z117" s="370"/>
      <c r="AA117" s="370"/>
      <c r="AB117" s="370"/>
      <c r="AC117" s="370"/>
      <c r="AD117" s="370"/>
      <c r="AE117" s="370"/>
      <c r="AF117" s="370"/>
      <c r="AG117" s="370"/>
      <c r="AH117" s="370"/>
      <c r="AI117" s="370"/>
      <c r="AJ117" s="366"/>
      <c r="AK117" s="366"/>
      <c r="AL117" s="360"/>
      <c r="AM117" s="305" t="s">
        <v>823</v>
      </c>
      <c r="AN117" s="305"/>
      <c r="AO117" s="305"/>
      <c r="AP117" s="305"/>
      <c r="AQ117" s="305"/>
      <c r="AR117" s="305"/>
      <c r="AS117" s="305"/>
      <c r="AT117" s="305"/>
      <c r="AU117" s="305"/>
      <c r="AV117" s="305"/>
    </row>
    <row r="118" spans="1:48" s="306" customFormat="1" ht="39" hidden="1">
      <c r="A118" s="304" t="s">
        <v>367</v>
      </c>
      <c r="B118" s="304" t="s">
        <v>731</v>
      </c>
      <c r="C118" s="341" t="s">
        <v>797</v>
      </c>
      <c r="D118" s="284"/>
      <c r="E118" s="284"/>
      <c r="F118" s="284"/>
      <c r="G118" s="284"/>
      <c r="H118" s="284"/>
      <c r="I118" s="284"/>
      <c r="J118" s="366">
        <v>0.5</v>
      </c>
      <c r="K118" s="370">
        <f t="shared" si="17"/>
        <v>0.24822695035460998</v>
      </c>
      <c r="L118" s="371">
        <v>3.5</v>
      </c>
      <c r="M118" s="371">
        <v>3.5</v>
      </c>
      <c r="N118" s="366">
        <f t="shared" si="13"/>
        <v>0.5</v>
      </c>
      <c r="O118" s="370">
        <f t="shared" si="14"/>
        <v>0.49645390070921996</v>
      </c>
      <c r="P118" s="370">
        <f t="shared" si="15"/>
        <v>3.5</v>
      </c>
      <c r="Q118" s="366">
        <f t="shared" si="18"/>
        <v>0.5</v>
      </c>
      <c r="R118" s="370">
        <f t="shared" si="12"/>
        <v>0.49645390070921996</v>
      </c>
      <c r="S118" s="366">
        <f t="shared" si="19"/>
        <v>100</v>
      </c>
      <c r="T118" s="366">
        <v>3.5</v>
      </c>
      <c r="U118" s="370">
        <f t="shared" si="16"/>
        <v>100</v>
      </c>
      <c r="V118" s="370"/>
      <c r="W118" s="372"/>
      <c r="X118" s="370"/>
      <c r="Y118" s="370"/>
      <c r="Z118" s="370"/>
      <c r="AA118" s="370"/>
      <c r="AB118" s="370"/>
      <c r="AC118" s="370"/>
      <c r="AD118" s="370"/>
      <c r="AE118" s="370"/>
      <c r="AF118" s="370"/>
      <c r="AG118" s="370"/>
      <c r="AH118" s="370"/>
      <c r="AI118" s="370"/>
      <c r="AJ118" s="366"/>
      <c r="AK118" s="366"/>
      <c r="AL118" s="360"/>
      <c r="AM118" s="305" t="s">
        <v>823</v>
      </c>
      <c r="AN118" s="305"/>
      <c r="AO118" s="305"/>
      <c r="AP118" s="305"/>
      <c r="AQ118" s="305"/>
      <c r="AR118" s="305"/>
      <c r="AS118" s="305"/>
      <c r="AT118" s="305"/>
      <c r="AU118" s="305"/>
      <c r="AV118" s="305"/>
    </row>
    <row r="119" spans="1:48" s="306" customFormat="1" ht="58.5" hidden="1">
      <c r="A119" s="304" t="s">
        <v>369</v>
      </c>
      <c r="B119" s="304" t="s">
        <v>732</v>
      </c>
      <c r="C119" s="341" t="s">
        <v>797</v>
      </c>
      <c r="D119" s="284"/>
      <c r="E119" s="284"/>
      <c r="F119" s="284"/>
      <c r="G119" s="284"/>
      <c r="H119" s="284"/>
      <c r="I119" s="284"/>
      <c r="J119" s="366">
        <v>1</v>
      </c>
      <c r="K119" s="370">
        <f t="shared" si="17"/>
        <v>7.0921985815602856E-2</v>
      </c>
      <c r="L119" s="371">
        <v>1</v>
      </c>
      <c r="M119" s="371">
        <v>0</v>
      </c>
      <c r="N119" s="366">
        <f t="shared" si="13"/>
        <v>1</v>
      </c>
      <c r="O119" s="370">
        <f t="shared" si="14"/>
        <v>0</v>
      </c>
      <c r="P119" s="370">
        <f t="shared" si="15"/>
        <v>0</v>
      </c>
      <c r="Q119" s="366">
        <f t="shared" si="18"/>
        <v>1</v>
      </c>
      <c r="R119" s="370">
        <f t="shared" si="12"/>
        <v>0</v>
      </c>
      <c r="S119" s="366">
        <f t="shared" si="19"/>
        <v>0</v>
      </c>
      <c r="T119" s="366">
        <v>0</v>
      </c>
      <c r="U119" s="370">
        <f t="shared" si="16"/>
        <v>0</v>
      </c>
      <c r="V119" s="370"/>
      <c r="W119" s="372"/>
      <c r="X119" s="370"/>
      <c r="Y119" s="370"/>
      <c r="Z119" s="370"/>
      <c r="AA119" s="370"/>
      <c r="AB119" s="370"/>
      <c r="AC119" s="370"/>
      <c r="AD119" s="370"/>
      <c r="AE119" s="370"/>
      <c r="AF119" s="370"/>
      <c r="AG119" s="370"/>
      <c r="AH119" s="370"/>
      <c r="AI119" s="370"/>
      <c r="AJ119" s="366"/>
      <c r="AK119" s="366"/>
      <c r="AL119" s="360"/>
      <c r="AM119" s="305" t="s">
        <v>823</v>
      </c>
      <c r="AN119" s="305"/>
      <c r="AO119" s="305"/>
      <c r="AP119" s="305"/>
      <c r="AQ119" s="305"/>
      <c r="AR119" s="305"/>
      <c r="AS119" s="305"/>
      <c r="AT119" s="305"/>
      <c r="AU119" s="305"/>
      <c r="AV119" s="305"/>
    </row>
    <row r="120" spans="1:48" s="306" customFormat="1" ht="58.5" hidden="1">
      <c r="A120" s="304" t="s">
        <v>371</v>
      </c>
      <c r="B120" s="304" t="s">
        <v>733</v>
      </c>
      <c r="C120" s="341" t="s">
        <v>797</v>
      </c>
      <c r="D120" s="284"/>
      <c r="E120" s="284"/>
      <c r="F120" s="284"/>
      <c r="G120" s="284"/>
      <c r="H120" s="284"/>
      <c r="I120" s="284"/>
      <c r="J120" s="366">
        <v>2</v>
      </c>
      <c r="K120" s="370">
        <f t="shared" si="17"/>
        <v>0.14184397163120571</v>
      </c>
      <c r="L120" s="371">
        <v>2</v>
      </c>
      <c r="M120" s="371">
        <v>0</v>
      </c>
      <c r="N120" s="366">
        <f t="shared" si="13"/>
        <v>2</v>
      </c>
      <c r="O120" s="370">
        <f t="shared" si="14"/>
        <v>0</v>
      </c>
      <c r="P120" s="370">
        <f t="shared" si="15"/>
        <v>0</v>
      </c>
      <c r="Q120" s="366">
        <f t="shared" si="18"/>
        <v>2</v>
      </c>
      <c r="R120" s="370">
        <f t="shared" si="12"/>
        <v>0</v>
      </c>
      <c r="S120" s="366">
        <f t="shared" si="19"/>
        <v>0</v>
      </c>
      <c r="T120" s="366">
        <v>0</v>
      </c>
      <c r="U120" s="370">
        <f t="shared" si="16"/>
        <v>0</v>
      </c>
      <c r="V120" s="370"/>
      <c r="W120" s="372"/>
      <c r="X120" s="370"/>
      <c r="Y120" s="370"/>
      <c r="Z120" s="370"/>
      <c r="AA120" s="370"/>
      <c r="AB120" s="370"/>
      <c r="AC120" s="370"/>
      <c r="AD120" s="370"/>
      <c r="AE120" s="370"/>
      <c r="AF120" s="370"/>
      <c r="AG120" s="370"/>
      <c r="AH120" s="370"/>
      <c r="AI120" s="370"/>
      <c r="AJ120" s="366"/>
      <c r="AK120" s="366"/>
      <c r="AL120" s="360"/>
      <c r="AM120" s="305" t="s">
        <v>823</v>
      </c>
      <c r="AN120" s="305"/>
      <c r="AO120" s="305"/>
      <c r="AP120" s="305"/>
      <c r="AQ120" s="305"/>
      <c r="AR120" s="305"/>
      <c r="AS120" s="305"/>
      <c r="AT120" s="305"/>
      <c r="AU120" s="305"/>
      <c r="AV120" s="305"/>
    </row>
    <row r="121" spans="1:48" s="306" customFormat="1" ht="58.5" hidden="1">
      <c r="A121" s="304" t="s">
        <v>373</v>
      </c>
      <c r="B121" s="304" t="s">
        <v>734</v>
      </c>
      <c r="C121" s="341" t="s">
        <v>797</v>
      </c>
      <c r="D121" s="284"/>
      <c r="E121" s="284"/>
      <c r="F121" s="284"/>
      <c r="G121" s="284"/>
      <c r="H121" s="284"/>
      <c r="I121" s="284"/>
      <c r="J121" s="366">
        <v>0.5</v>
      </c>
      <c r="K121" s="370">
        <f t="shared" si="17"/>
        <v>0.24822695035460998</v>
      </c>
      <c r="L121" s="371">
        <v>3.5</v>
      </c>
      <c r="M121" s="371">
        <v>0</v>
      </c>
      <c r="N121" s="366">
        <f t="shared" si="13"/>
        <v>0.5</v>
      </c>
      <c r="O121" s="370">
        <f t="shared" si="14"/>
        <v>0</v>
      </c>
      <c r="P121" s="370">
        <f t="shared" si="15"/>
        <v>0</v>
      </c>
      <c r="Q121" s="366">
        <f t="shared" si="18"/>
        <v>0.5</v>
      </c>
      <c r="R121" s="370">
        <f t="shared" si="12"/>
        <v>0</v>
      </c>
      <c r="S121" s="366">
        <f t="shared" si="19"/>
        <v>0</v>
      </c>
      <c r="T121" s="366">
        <v>0</v>
      </c>
      <c r="U121" s="370">
        <f t="shared" si="16"/>
        <v>0</v>
      </c>
      <c r="V121" s="370"/>
      <c r="W121" s="372"/>
      <c r="X121" s="370"/>
      <c r="Y121" s="370"/>
      <c r="Z121" s="370"/>
      <c r="AA121" s="370"/>
      <c r="AB121" s="370"/>
      <c r="AC121" s="370"/>
      <c r="AD121" s="370"/>
      <c r="AE121" s="370"/>
      <c r="AF121" s="370"/>
      <c r="AG121" s="370"/>
      <c r="AH121" s="370"/>
      <c r="AI121" s="370"/>
      <c r="AJ121" s="366"/>
      <c r="AK121" s="366"/>
      <c r="AL121" s="360"/>
      <c r="AM121" s="305" t="s">
        <v>823</v>
      </c>
      <c r="AN121" s="305"/>
      <c r="AO121" s="305"/>
      <c r="AP121" s="305"/>
      <c r="AQ121" s="305"/>
      <c r="AR121" s="305"/>
      <c r="AS121" s="305"/>
      <c r="AT121" s="305"/>
      <c r="AU121" s="305"/>
      <c r="AV121" s="305"/>
    </row>
    <row r="122" spans="1:48" s="306" customFormat="1" ht="39" hidden="1">
      <c r="A122" s="304" t="s">
        <v>377</v>
      </c>
      <c r="B122" s="304" t="s">
        <v>735</v>
      </c>
      <c r="C122" s="341" t="s">
        <v>797</v>
      </c>
      <c r="D122" s="284"/>
      <c r="E122" s="284"/>
      <c r="F122" s="284"/>
      <c r="G122" s="284"/>
      <c r="H122" s="284"/>
      <c r="I122" s="284"/>
      <c r="J122" s="366">
        <v>1</v>
      </c>
      <c r="K122" s="370">
        <f t="shared" si="17"/>
        <v>7.0921985815602856E-2</v>
      </c>
      <c r="L122" s="371">
        <v>1</v>
      </c>
      <c r="M122" s="371">
        <v>0</v>
      </c>
      <c r="N122" s="366">
        <f t="shared" si="13"/>
        <v>1</v>
      </c>
      <c r="O122" s="370">
        <f t="shared" si="14"/>
        <v>0</v>
      </c>
      <c r="P122" s="370">
        <f t="shared" si="15"/>
        <v>0</v>
      </c>
      <c r="Q122" s="366">
        <f t="shared" si="18"/>
        <v>1</v>
      </c>
      <c r="R122" s="370">
        <f t="shared" si="12"/>
        <v>0</v>
      </c>
      <c r="S122" s="366">
        <f t="shared" si="19"/>
        <v>0</v>
      </c>
      <c r="T122" s="366">
        <v>0</v>
      </c>
      <c r="U122" s="370">
        <f t="shared" si="16"/>
        <v>0</v>
      </c>
      <c r="V122" s="370"/>
      <c r="W122" s="372"/>
      <c r="X122" s="370"/>
      <c r="Y122" s="370"/>
      <c r="Z122" s="370"/>
      <c r="AA122" s="370"/>
      <c r="AB122" s="370"/>
      <c r="AC122" s="370"/>
      <c r="AD122" s="370"/>
      <c r="AE122" s="370"/>
      <c r="AF122" s="370"/>
      <c r="AG122" s="370"/>
      <c r="AH122" s="370"/>
      <c r="AI122" s="370"/>
      <c r="AJ122" s="366"/>
      <c r="AK122" s="366"/>
      <c r="AL122" s="360"/>
      <c r="AM122" s="305" t="s">
        <v>823</v>
      </c>
      <c r="AN122" s="305"/>
      <c r="AO122" s="305"/>
      <c r="AP122" s="305"/>
      <c r="AQ122" s="305"/>
      <c r="AR122" s="305"/>
      <c r="AS122" s="305"/>
      <c r="AT122" s="305"/>
      <c r="AU122" s="305"/>
      <c r="AV122" s="305"/>
    </row>
    <row r="123" spans="1:48" s="306" customFormat="1" ht="39" hidden="1">
      <c r="A123" s="304" t="s">
        <v>379</v>
      </c>
      <c r="B123" s="304" t="s">
        <v>736</v>
      </c>
      <c r="C123" s="341" t="s">
        <v>797</v>
      </c>
      <c r="D123" s="284"/>
      <c r="E123" s="284"/>
      <c r="F123" s="284"/>
      <c r="G123" s="284"/>
      <c r="H123" s="284"/>
      <c r="I123" s="284"/>
      <c r="J123" s="366">
        <v>1</v>
      </c>
      <c r="K123" s="370">
        <f t="shared" si="17"/>
        <v>7.0921985815602856E-2</v>
      </c>
      <c r="L123" s="371">
        <v>1</v>
      </c>
      <c r="M123" s="371">
        <v>0</v>
      </c>
      <c r="N123" s="366">
        <f t="shared" si="13"/>
        <v>1</v>
      </c>
      <c r="O123" s="370">
        <f t="shared" si="14"/>
        <v>0</v>
      </c>
      <c r="P123" s="370">
        <f t="shared" si="15"/>
        <v>0</v>
      </c>
      <c r="Q123" s="366">
        <f t="shared" si="18"/>
        <v>1</v>
      </c>
      <c r="R123" s="370">
        <f t="shared" si="12"/>
        <v>0</v>
      </c>
      <c r="S123" s="366">
        <f t="shared" si="19"/>
        <v>0</v>
      </c>
      <c r="T123" s="366">
        <v>0</v>
      </c>
      <c r="U123" s="370">
        <f t="shared" si="16"/>
        <v>0</v>
      </c>
      <c r="V123" s="370"/>
      <c r="W123" s="372"/>
      <c r="X123" s="370"/>
      <c r="Y123" s="370"/>
      <c r="Z123" s="370"/>
      <c r="AA123" s="370"/>
      <c r="AB123" s="370"/>
      <c r="AC123" s="370"/>
      <c r="AD123" s="370"/>
      <c r="AE123" s="370"/>
      <c r="AF123" s="370"/>
      <c r="AG123" s="370"/>
      <c r="AH123" s="370"/>
      <c r="AI123" s="370"/>
      <c r="AJ123" s="366"/>
      <c r="AK123" s="366"/>
      <c r="AL123" s="360"/>
      <c r="AM123" s="305" t="s">
        <v>823</v>
      </c>
      <c r="AN123" s="305"/>
      <c r="AO123" s="305"/>
      <c r="AP123" s="305"/>
      <c r="AQ123" s="305"/>
      <c r="AR123" s="305"/>
      <c r="AS123" s="305"/>
      <c r="AT123" s="305"/>
      <c r="AU123" s="305"/>
      <c r="AV123" s="305"/>
    </row>
    <row r="124" spans="1:48" s="306" customFormat="1" ht="39" hidden="1">
      <c r="A124" s="304" t="s">
        <v>381</v>
      </c>
      <c r="B124" s="304" t="s">
        <v>737</v>
      </c>
      <c r="C124" s="341" t="s">
        <v>797</v>
      </c>
      <c r="D124" s="284"/>
      <c r="E124" s="284"/>
      <c r="F124" s="284"/>
      <c r="G124" s="284"/>
      <c r="H124" s="284"/>
      <c r="I124" s="284"/>
      <c r="J124" s="366">
        <v>5</v>
      </c>
      <c r="K124" s="370">
        <f t="shared" si="17"/>
        <v>0.17730496453900713</v>
      </c>
      <c r="L124" s="371">
        <v>2.5</v>
      </c>
      <c r="M124" s="371">
        <v>0</v>
      </c>
      <c r="N124" s="366">
        <f t="shared" si="13"/>
        <v>5</v>
      </c>
      <c r="O124" s="370">
        <f t="shared" si="14"/>
        <v>0</v>
      </c>
      <c r="P124" s="370">
        <f t="shared" si="15"/>
        <v>0</v>
      </c>
      <c r="Q124" s="366">
        <f t="shared" si="18"/>
        <v>5</v>
      </c>
      <c r="R124" s="370">
        <f t="shared" si="12"/>
        <v>0</v>
      </c>
      <c r="S124" s="366">
        <f t="shared" si="19"/>
        <v>0</v>
      </c>
      <c r="T124" s="366">
        <v>0</v>
      </c>
      <c r="U124" s="370">
        <f t="shared" si="16"/>
        <v>0</v>
      </c>
      <c r="V124" s="370"/>
      <c r="W124" s="372"/>
      <c r="X124" s="370"/>
      <c r="Y124" s="370"/>
      <c r="Z124" s="370"/>
      <c r="AA124" s="370"/>
      <c r="AB124" s="370"/>
      <c r="AC124" s="370"/>
      <c r="AD124" s="370"/>
      <c r="AE124" s="370"/>
      <c r="AF124" s="370"/>
      <c r="AG124" s="370"/>
      <c r="AH124" s="370"/>
      <c r="AI124" s="370"/>
      <c r="AJ124" s="366"/>
      <c r="AK124" s="366"/>
      <c r="AL124" s="360"/>
      <c r="AM124" s="305" t="s">
        <v>823</v>
      </c>
      <c r="AN124" s="305"/>
      <c r="AO124" s="305"/>
      <c r="AP124" s="305"/>
      <c r="AQ124" s="305"/>
      <c r="AR124" s="305"/>
      <c r="AS124" s="305"/>
      <c r="AT124" s="305"/>
      <c r="AU124" s="305"/>
      <c r="AV124" s="305"/>
    </row>
    <row r="125" spans="1:48" s="306" customFormat="1" ht="39" hidden="1">
      <c r="A125" s="304" t="s">
        <v>383</v>
      </c>
      <c r="B125" s="304" t="s">
        <v>738</v>
      </c>
      <c r="C125" s="341" t="s">
        <v>797</v>
      </c>
      <c r="D125" s="284"/>
      <c r="E125" s="284"/>
      <c r="F125" s="284"/>
      <c r="G125" s="284"/>
      <c r="H125" s="284"/>
      <c r="I125" s="284"/>
      <c r="J125" s="366">
        <v>1</v>
      </c>
      <c r="K125" s="370">
        <f t="shared" si="17"/>
        <v>0</v>
      </c>
      <c r="L125" s="371">
        <v>0</v>
      </c>
      <c r="M125" s="371">
        <v>0</v>
      </c>
      <c r="N125" s="366">
        <f t="shared" si="13"/>
        <v>1</v>
      </c>
      <c r="O125" s="370">
        <f t="shared" si="14"/>
        <v>0</v>
      </c>
      <c r="P125" s="370">
        <f t="shared" si="15"/>
        <v>0</v>
      </c>
      <c r="Q125" s="366">
        <f t="shared" si="18"/>
        <v>1</v>
      </c>
      <c r="R125" s="370">
        <f t="shared" si="12"/>
        <v>0</v>
      </c>
      <c r="S125" s="366">
        <v>0</v>
      </c>
      <c r="T125" s="366">
        <v>0</v>
      </c>
      <c r="U125" s="370">
        <f t="shared" si="16"/>
        <v>0</v>
      </c>
      <c r="V125" s="370"/>
      <c r="W125" s="372"/>
      <c r="X125" s="370"/>
      <c r="Y125" s="370"/>
      <c r="Z125" s="370"/>
      <c r="AA125" s="370"/>
      <c r="AB125" s="370"/>
      <c r="AC125" s="370"/>
      <c r="AD125" s="370"/>
      <c r="AE125" s="370"/>
      <c r="AF125" s="370"/>
      <c r="AG125" s="370"/>
      <c r="AH125" s="370"/>
      <c r="AI125" s="370"/>
      <c r="AJ125" s="366"/>
      <c r="AK125" s="366"/>
      <c r="AL125" s="360"/>
      <c r="AM125" s="305" t="s">
        <v>823</v>
      </c>
      <c r="AN125" s="305"/>
      <c r="AO125" s="305"/>
      <c r="AP125" s="305"/>
      <c r="AQ125" s="305"/>
      <c r="AR125" s="305"/>
      <c r="AS125" s="305"/>
      <c r="AT125" s="305"/>
      <c r="AU125" s="305"/>
      <c r="AV125" s="305"/>
    </row>
    <row r="126" spans="1:48" s="306" customFormat="1" ht="58.5" hidden="1">
      <c r="A126" s="304" t="s">
        <v>385</v>
      </c>
      <c r="B126" s="304" t="s">
        <v>739</v>
      </c>
      <c r="C126" s="341" t="s">
        <v>797</v>
      </c>
      <c r="D126" s="284"/>
      <c r="E126" s="284"/>
      <c r="F126" s="284"/>
      <c r="G126" s="284"/>
      <c r="H126" s="284"/>
      <c r="I126" s="284"/>
      <c r="J126" s="366">
        <v>1</v>
      </c>
      <c r="K126" s="370">
        <f t="shared" si="17"/>
        <v>0</v>
      </c>
      <c r="L126" s="371">
        <v>0</v>
      </c>
      <c r="M126" s="371">
        <v>0</v>
      </c>
      <c r="N126" s="366">
        <f t="shared" si="13"/>
        <v>1</v>
      </c>
      <c r="O126" s="370">
        <f t="shared" si="14"/>
        <v>0</v>
      </c>
      <c r="P126" s="370">
        <f t="shared" si="15"/>
        <v>0</v>
      </c>
      <c r="Q126" s="366">
        <f t="shared" si="18"/>
        <v>1</v>
      </c>
      <c r="R126" s="370">
        <f t="shared" si="12"/>
        <v>0</v>
      </c>
      <c r="S126" s="366">
        <v>0</v>
      </c>
      <c r="T126" s="366">
        <v>0</v>
      </c>
      <c r="U126" s="370">
        <f t="shared" si="16"/>
        <v>0</v>
      </c>
      <c r="V126" s="370"/>
      <c r="W126" s="372"/>
      <c r="X126" s="370"/>
      <c r="Y126" s="370"/>
      <c r="Z126" s="370"/>
      <c r="AA126" s="370"/>
      <c r="AB126" s="370"/>
      <c r="AC126" s="370"/>
      <c r="AD126" s="370"/>
      <c r="AE126" s="370"/>
      <c r="AF126" s="370"/>
      <c r="AG126" s="370"/>
      <c r="AH126" s="370"/>
      <c r="AI126" s="370"/>
      <c r="AJ126" s="366"/>
      <c r="AK126" s="366"/>
      <c r="AL126" s="360"/>
      <c r="AM126" s="305" t="s">
        <v>823</v>
      </c>
      <c r="AN126" s="305"/>
      <c r="AO126" s="305"/>
      <c r="AP126" s="305"/>
      <c r="AQ126" s="305"/>
      <c r="AR126" s="305"/>
      <c r="AS126" s="305"/>
      <c r="AT126" s="305"/>
      <c r="AU126" s="305"/>
      <c r="AV126" s="305"/>
    </row>
    <row r="127" spans="1:48" s="306" customFormat="1" ht="58.5" hidden="1">
      <c r="A127" s="304" t="s">
        <v>387</v>
      </c>
      <c r="B127" s="304" t="s">
        <v>740</v>
      </c>
      <c r="C127" s="341" t="s">
        <v>797</v>
      </c>
      <c r="D127" s="284"/>
      <c r="E127" s="284"/>
      <c r="F127" s="284"/>
      <c r="G127" s="284"/>
      <c r="H127" s="284"/>
      <c r="I127" s="284"/>
      <c r="J127" s="366">
        <v>5</v>
      </c>
      <c r="K127" s="370">
        <f t="shared" si="17"/>
        <v>0.35460992907801425</v>
      </c>
      <c r="L127" s="371">
        <v>5</v>
      </c>
      <c r="M127" s="371">
        <v>5</v>
      </c>
      <c r="N127" s="366">
        <f t="shared" si="13"/>
        <v>5</v>
      </c>
      <c r="O127" s="370">
        <f t="shared" si="14"/>
        <v>0.7092198581560285</v>
      </c>
      <c r="P127" s="370">
        <f t="shared" si="15"/>
        <v>5</v>
      </c>
      <c r="Q127" s="366">
        <f t="shared" si="18"/>
        <v>5</v>
      </c>
      <c r="R127" s="370">
        <f t="shared" si="12"/>
        <v>0.7092198581560285</v>
      </c>
      <c r="S127" s="366">
        <f t="shared" ref="S127:S134" si="20">ROUND(IF(O127=0,R127/K127*100,R127/O127*100),2)</f>
        <v>100</v>
      </c>
      <c r="T127" s="366">
        <v>4.7699999999999996</v>
      </c>
      <c r="U127" s="370">
        <f t="shared" si="16"/>
        <v>95.399999999999991</v>
      </c>
      <c r="V127" s="370"/>
      <c r="W127" s="372"/>
      <c r="X127" s="370"/>
      <c r="Y127" s="370"/>
      <c r="Z127" s="370"/>
      <c r="AA127" s="370"/>
      <c r="AB127" s="370"/>
      <c r="AC127" s="370"/>
      <c r="AD127" s="370"/>
      <c r="AE127" s="370"/>
      <c r="AF127" s="370"/>
      <c r="AG127" s="370"/>
      <c r="AH127" s="370"/>
      <c r="AI127" s="370"/>
      <c r="AJ127" s="366"/>
      <c r="AK127" s="366"/>
      <c r="AL127" s="360"/>
      <c r="AM127" s="305" t="s">
        <v>823</v>
      </c>
      <c r="AN127" s="305"/>
      <c r="AO127" s="305"/>
      <c r="AP127" s="305"/>
      <c r="AQ127" s="305"/>
      <c r="AR127" s="305"/>
      <c r="AS127" s="305"/>
      <c r="AT127" s="305"/>
      <c r="AU127" s="305"/>
      <c r="AV127" s="305"/>
    </row>
    <row r="128" spans="1:48" s="306" customFormat="1" ht="39" hidden="1">
      <c r="A128" s="304" t="s">
        <v>537</v>
      </c>
      <c r="B128" s="304" t="s">
        <v>741</v>
      </c>
      <c r="C128" s="340" t="s">
        <v>794</v>
      </c>
      <c r="D128" s="284"/>
      <c r="E128" s="284"/>
      <c r="F128" s="284"/>
      <c r="G128" s="284"/>
      <c r="H128" s="284"/>
      <c r="I128" s="284"/>
      <c r="J128" s="366">
        <v>4</v>
      </c>
      <c r="K128" s="370">
        <f t="shared" si="17"/>
        <v>4.9645390070921991</v>
      </c>
      <c r="L128" s="371">
        <v>70</v>
      </c>
      <c r="M128" s="371">
        <v>0</v>
      </c>
      <c r="N128" s="366">
        <f t="shared" si="13"/>
        <v>4</v>
      </c>
      <c r="O128" s="370">
        <f t="shared" si="14"/>
        <v>0</v>
      </c>
      <c r="P128" s="370">
        <f t="shared" si="15"/>
        <v>0</v>
      </c>
      <c r="Q128" s="366">
        <f t="shared" si="18"/>
        <v>4</v>
      </c>
      <c r="R128" s="370">
        <f t="shared" si="12"/>
        <v>0</v>
      </c>
      <c r="S128" s="366">
        <f t="shared" si="20"/>
        <v>0</v>
      </c>
      <c r="T128" s="366">
        <v>0</v>
      </c>
      <c r="U128" s="370">
        <f t="shared" si="16"/>
        <v>0</v>
      </c>
      <c r="V128" s="370"/>
      <c r="W128" s="372"/>
      <c r="X128" s="370"/>
      <c r="Y128" s="370"/>
      <c r="Z128" s="370"/>
      <c r="AA128" s="370"/>
      <c r="AB128" s="370"/>
      <c r="AC128" s="370"/>
      <c r="AD128" s="370"/>
      <c r="AE128" s="370"/>
      <c r="AF128" s="370"/>
      <c r="AG128" s="370"/>
      <c r="AH128" s="370"/>
      <c r="AI128" s="370"/>
      <c r="AJ128" s="366"/>
      <c r="AK128" s="366"/>
      <c r="AL128" s="360"/>
      <c r="AM128" s="305" t="s">
        <v>823</v>
      </c>
      <c r="AN128" s="305"/>
      <c r="AO128" s="305"/>
      <c r="AP128" s="305"/>
      <c r="AQ128" s="305"/>
      <c r="AR128" s="305"/>
      <c r="AS128" s="305"/>
      <c r="AT128" s="305"/>
      <c r="AU128" s="305"/>
      <c r="AV128" s="305"/>
    </row>
    <row r="129" spans="1:48" s="306" customFormat="1" ht="58.5" hidden="1">
      <c r="A129" s="304" t="s">
        <v>389</v>
      </c>
      <c r="B129" s="304" t="s">
        <v>742</v>
      </c>
      <c r="C129" s="341" t="s">
        <v>797</v>
      </c>
      <c r="D129" s="284"/>
      <c r="E129" s="284"/>
      <c r="F129" s="284"/>
      <c r="G129" s="284"/>
      <c r="H129" s="284"/>
      <c r="I129" s="284"/>
      <c r="J129" s="366">
        <v>6</v>
      </c>
      <c r="K129" s="370">
        <f t="shared" si="17"/>
        <v>1.7021276595744685</v>
      </c>
      <c r="L129" s="371">
        <v>24</v>
      </c>
      <c r="M129" s="371">
        <v>20</v>
      </c>
      <c r="N129" s="366">
        <f t="shared" si="13"/>
        <v>6</v>
      </c>
      <c r="O129" s="370">
        <f t="shared" si="14"/>
        <v>2.836879432624114</v>
      </c>
      <c r="P129" s="370">
        <f t="shared" si="15"/>
        <v>20</v>
      </c>
      <c r="Q129" s="366">
        <f t="shared" si="18"/>
        <v>6</v>
      </c>
      <c r="R129" s="370">
        <f t="shared" si="12"/>
        <v>2.836879432624114</v>
      </c>
      <c r="S129" s="366">
        <f t="shared" si="20"/>
        <v>100</v>
      </c>
      <c r="T129" s="366">
        <v>19.98</v>
      </c>
      <c r="U129" s="370">
        <f t="shared" si="16"/>
        <v>99.9</v>
      </c>
      <c r="V129" s="370"/>
      <c r="W129" s="372"/>
      <c r="X129" s="370"/>
      <c r="Y129" s="370"/>
      <c r="Z129" s="370"/>
      <c r="AA129" s="370"/>
      <c r="AB129" s="370"/>
      <c r="AC129" s="370"/>
      <c r="AD129" s="370"/>
      <c r="AE129" s="370"/>
      <c r="AF129" s="370"/>
      <c r="AG129" s="370"/>
      <c r="AH129" s="370"/>
      <c r="AI129" s="370"/>
      <c r="AJ129" s="366"/>
      <c r="AK129" s="366"/>
      <c r="AL129" s="360"/>
      <c r="AM129" s="305" t="s">
        <v>823</v>
      </c>
      <c r="AN129" s="305"/>
      <c r="AO129" s="305"/>
      <c r="AP129" s="305"/>
      <c r="AQ129" s="305"/>
      <c r="AR129" s="305"/>
      <c r="AS129" s="305"/>
      <c r="AT129" s="305"/>
      <c r="AU129" s="305"/>
      <c r="AV129" s="305"/>
    </row>
    <row r="130" spans="1:48" s="306" customFormat="1" ht="58.5" hidden="1">
      <c r="A130" s="304" t="s">
        <v>391</v>
      </c>
      <c r="B130" s="304" t="s">
        <v>743</v>
      </c>
      <c r="C130" s="341" t="s">
        <v>797</v>
      </c>
      <c r="D130" s="284"/>
      <c r="E130" s="284"/>
      <c r="F130" s="284"/>
      <c r="G130" s="284"/>
      <c r="H130" s="284"/>
      <c r="I130" s="284"/>
      <c r="J130" s="366">
        <v>6</v>
      </c>
      <c r="K130" s="370">
        <f t="shared" si="17"/>
        <v>0.42553191489361714</v>
      </c>
      <c r="L130" s="371">
        <v>6</v>
      </c>
      <c r="M130" s="371">
        <v>5</v>
      </c>
      <c r="N130" s="366">
        <f t="shared" si="13"/>
        <v>6</v>
      </c>
      <c r="O130" s="370">
        <f t="shared" si="14"/>
        <v>0.7092198581560285</v>
      </c>
      <c r="P130" s="370">
        <f t="shared" si="15"/>
        <v>5</v>
      </c>
      <c r="Q130" s="366">
        <f t="shared" si="18"/>
        <v>6</v>
      </c>
      <c r="R130" s="370">
        <f t="shared" si="12"/>
        <v>0.7092198581560285</v>
      </c>
      <c r="S130" s="366">
        <f t="shared" si="20"/>
        <v>100</v>
      </c>
      <c r="T130" s="366">
        <v>4.8</v>
      </c>
      <c r="U130" s="370">
        <f t="shared" si="16"/>
        <v>96</v>
      </c>
      <c r="V130" s="370"/>
      <c r="W130" s="372"/>
      <c r="X130" s="370"/>
      <c r="Y130" s="370"/>
      <c r="Z130" s="370"/>
      <c r="AA130" s="370"/>
      <c r="AB130" s="370"/>
      <c r="AC130" s="370"/>
      <c r="AD130" s="370"/>
      <c r="AE130" s="370"/>
      <c r="AF130" s="370"/>
      <c r="AG130" s="370"/>
      <c r="AH130" s="370"/>
      <c r="AI130" s="370"/>
      <c r="AJ130" s="366"/>
      <c r="AK130" s="366"/>
      <c r="AL130" s="360"/>
      <c r="AM130" s="305" t="s">
        <v>823</v>
      </c>
      <c r="AN130" s="305"/>
      <c r="AO130" s="305"/>
      <c r="AP130" s="305"/>
      <c r="AQ130" s="305"/>
      <c r="AR130" s="305"/>
      <c r="AS130" s="305"/>
      <c r="AT130" s="305"/>
      <c r="AU130" s="305"/>
      <c r="AV130" s="305"/>
    </row>
    <row r="131" spans="1:48" s="306" customFormat="1" ht="39" hidden="1">
      <c r="A131" s="304" t="s">
        <v>393</v>
      </c>
      <c r="B131" s="304" t="s">
        <v>744</v>
      </c>
      <c r="C131" s="341" t="s">
        <v>797</v>
      </c>
      <c r="D131" s="284"/>
      <c r="E131" s="284"/>
      <c r="F131" s="284"/>
      <c r="G131" s="284"/>
      <c r="H131" s="284"/>
      <c r="I131" s="284"/>
      <c r="J131" s="366">
        <v>0.5</v>
      </c>
      <c r="K131" s="370">
        <f t="shared" si="17"/>
        <v>3.5460992907801428E-2</v>
      </c>
      <c r="L131" s="371">
        <v>0.5</v>
      </c>
      <c r="M131" s="371">
        <v>0</v>
      </c>
      <c r="N131" s="366">
        <f t="shared" si="13"/>
        <v>0.5</v>
      </c>
      <c r="O131" s="370">
        <f t="shared" si="14"/>
        <v>0</v>
      </c>
      <c r="P131" s="370">
        <f t="shared" si="15"/>
        <v>0</v>
      </c>
      <c r="Q131" s="366">
        <f t="shared" si="18"/>
        <v>0.5</v>
      </c>
      <c r="R131" s="370">
        <f t="shared" si="12"/>
        <v>0</v>
      </c>
      <c r="S131" s="366">
        <f t="shared" si="20"/>
        <v>0</v>
      </c>
      <c r="T131" s="366">
        <v>0</v>
      </c>
      <c r="U131" s="370">
        <f t="shared" si="16"/>
        <v>0</v>
      </c>
      <c r="V131" s="370"/>
      <c r="W131" s="372"/>
      <c r="X131" s="370"/>
      <c r="Y131" s="370"/>
      <c r="Z131" s="370"/>
      <c r="AA131" s="370"/>
      <c r="AB131" s="370"/>
      <c r="AC131" s="370"/>
      <c r="AD131" s="370"/>
      <c r="AE131" s="370"/>
      <c r="AF131" s="370"/>
      <c r="AG131" s="370"/>
      <c r="AH131" s="370"/>
      <c r="AI131" s="370"/>
      <c r="AJ131" s="366"/>
      <c r="AK131" s="366"/>
      <c r="AL131" s="360"/>
      <c r="AM131" s="305" t="s">
        <v>823</v>
      </c>
      <c r="AN131" s="305"/>
      <c r="AO131" s="305"/>
      <c r="AP131" s="305"/>
      <c r="AQ131" s="305"/>
      <c r="AR131" s="305"/>
      <c r="AS131" s="305"/>
      <c r="AT131" s="305"/>
      <c r="AU131" s="305"/>
      <c r="AV131" s="305"/>
    </row>
    <row r="132" spans="1:48" s="306" customFormat="1" ht="39" hidden="1">
      <c r="A132" s="304" t="s">
        <v>450</v>
      </c>
      <c r="B132" s="304" t="s">
        <v>745</v>
      </c>
      <c r="C132" s="341" t="s">
        <v>797</v>
      </c>
      <c r="D132" s="284"/>
      <c r="E132" s="284"/>
      <c r="F132" s="284"/>
      <c r="G132" s="284"/>
      <c r="H132" s="284"/>
      <c r="I132" s="284"/>
      <c r="J132" s="366">
        <v>1</v>
      </c>
      <c r="K132" s="370">
        <f t="shared" si="17"/>
        <v>0.28368794326241142</v>
      </c>
      <c r="L132" s="371">
        <v>4</v>
      </c>
      <c r="M132" s="371"/>
      <c r="N132" s="366">
        <f t="shared" si="13"/>
        <v>1</v>
      </c>
      <c r="O132" s="370">
        <f t="shared" si="14"/>
        <v>0</v>
      </c>
      <c r="P132" s="370">
        <f t="shared" si="15"/>
        <v>0</v>
      </c>
      <c r="Q132" s="366">
        <f t="shared" si="18"/>
        <v>1</v>
      </c>
      <c r="R132" s="370">
        <f t="shared" si="12"/>
        <v>0</v>
      </c>
      <c r="S132" s="366">
        <f t="shared" si="20"/>
        <v>0</v>
      </c>
      <c r="T132" s="366">
        <v>0</v>
      </c>
      <c r="U132" s="370">
        <f t="shared" si="16"/>
        <v>0</v>
      </c>
      <c r="V132" s="370"/>
      <c r="W132" s="372"/>
      <c r="X132" s="370"/>
      <c r="Y132" s="370"/>
      <c r="Z132" s="370"/>
      <c r="AA132" s="370"/>
      <c r="AB132" s="370"/>
      <c r="AC132" s="370"/>
      <c r="AD132" s="370"/>
      <c r="AE132" s="370"/>
      <c r="AF132" s="370"/>
      <c r="AG132" s="370"/>
      <c r="AH132" s="370"/>
      <c r="AI132" s="370"/>
      <c r="AJ132" s="366"/>
      <c r="AK132" s="366"/>
      <c r="AL132" s="360"/>
      <c r="AM132" s="305" t="s">
        <v>820</v>
      </c>
      <c r="AN132" s="305"/>
      <c r="AO132" s="305"/>
      <c r="AP132" s="305"/>
      <c r="AQ132" s="305"/>
      <c r="AR132" s="305"/>
      <c r="AS132" s="305"/>
      <c r="AT132" s="305"/>
      <c r="AU132" s="305"/>
      <c r="AV132" s="305"/>
    </row>
    <row r="133" spans="1:48" s="306" customFormat="1" ht="58.5" hidden="1">
      <c r="A133" s="304" t="s">
        <v>395</v>
      </c>
      <c r="B133" s="304" t="s">
        <v>746</v>
      </c>
      <c r="C133" s="340" t="s">
        <v>794</v>
      </c>
      <c r="D133" s="284"/>
      <c r="E133" s="284"/>
      <c r="F133" s="284"/>
      <c r="G133" s="284"/>
      <c r="H133" s="284"/>
      <c r="I133" s="284"/>
      <c r="J133" s="366">
        <v>5</v>
      </c>
      <c r="K133" s="370">
        <f t="shared" si="17"/>
        <v>0.35460992907801425</v>
      </c>
      <c r="L133" s="371">
        <v>5</v>
      </c>
      <c r="M133" s="371">
        <v>5</v>
      </c>
      <c r="N133" s="366">
        <f t="shared" si="13"/>
        <v>5</v>
      </c>
      <c r="O133" s="370">
        <f t="shared" si="14"/>
        <v>0.7092198581560285</v>
      </c>
      <c r="P133" s="370">
        <f t="shared" si="15"/>
        <v>5</v>
      </c>
      <c r="Q133" s="366">
        <f t="shared" si="18"/>
        <v>5</v>
      </c>
      <c r="R133" s="370">
        <f t="shared" si="12"/>
        <v>0.7092198581560285</v>
      </c>
      <c r="S133" s="366">
        <f t="shared" si="20"/>
        <v>100</v>
      </c>
      <c r="T133" s="366">
        <v>4.8</v>
      </c>
      <c r="U133" s="370">
        <f t="shared" si="16"/>
        <v>96</v>
      </c>
      <c r="V133" s="370"/>
      <c r="W133" s="372"/>
      <c r="X133" s="370"/>
      <c r="Y133" s="370"/>
      <c r="Z133" s="370"/>
      <c r="AA133" s="370"/>
      <c r="AB133" s="370"/>
      <c r="AC133" s="370"/>
      <c r="AD133" s="370"/>
      <c r="AE133" s="370"/>
      <c r="AF133" s="370"/>
      <c r="AG133" s="370"/>
      <c r="AH133" s="370"/>
      <c r="AI133" s="370"/>
      <c r="AJ133" s="366"/>
      <c r="AK133" s="366"/>
      <c r="AL133" s="360"/>
      <c r="AM133" s="305" t="s">
        <v>823</v>
      </c>
      <c r="AN133" s="305"/>
      <c r="AO133" s="305"/>
      <c r="AP133" s="305"/>
      <c r="AQ133" s="305"/>
      <c r="AR133" s="305"/>
      <c r="AS133" s="305"/>
      <c r="AT133" s="305"/>
      <c r="AU133" s="305"/>
      <c r="AV133" s="305"/>
    </row>
    <row r="134" spans="1:48" s="306" customFormat="1" ht="58.5" hidden="1">
      <c r="A134" s="334" t="s">
        <v>600</v>
      </c>
      <c r="B134" s="334" t="s">
        <v>747</v>
      </c>
      <c r="C134" s="342" t="s">
        <v>794</v>
      </c>
      <c r="D134" s="281"/>
      <c r="E134" s="281"/>
      <c r="F134" s="281"/>
      <c r="G134" s="281"/>
      <c r="H134" s="281"/>
      <c r="I134" s="281"/>
      <c r="J134" s="374">
        <v>2</v>
      </c>
      <c r="K134" s="375">
        <f t="shared" si="17"/>
        <v>0.7092198581560285</v>
      </c>
      <c r="L134" s="376">
        <v>10</v>
      </c>
      <c r="M134" s="376">
        <v>10</v>
      </c>
      <c r="N134" s="374">
        <f t="shared" si="13"/>
        <v>2</v>
      </c>
      <c r="O134" s="375">
        <f t="shared" si="14"/>
        <v>1.418439716312057</v>
      </c>
      <c r="P134" s="375">
        <f t="shared" si="15"/>
        <v>10</v>
      </c>
      <c r="Q134" s="374">
        <v>1</v>
      </c>
      <c r="R134" s="375">
        <f t="shared" si="12"/>
        <v>0.7092198581560285</v>
      </c>
      <c r="S134" s="374">
        <f t="shared" si="20"/>
        <v>50</v>
      </c>
      <c r="T134" s="374">
        <v>4.99</v>
      </c>
      <c r="U134" s="375">
        <f t="shared" si="16"/>
        <v>49.9</v>
      </c>
      <c r="V134" s="375"/>
      <c r="W134" s="378"/>
      <c r="X134" s="375"/>
      <c r="Y134" s="375"/>
      <c r="Z134" s="375"/>
      <c r="AA134" s="375"/>
      <c r="AB134" s="375"/>
      <c r="AC134" s="375"/>
      <c r="AD134" s="375"/>
      <c r="AE134" s="375"/>
      <c r="AF134" s="375"/>
      <c r="AG134" s="375"/>
      <c r="AH134" s="375"/>
      <c r="AI134" s="375"/>
      <c r="AJ134" s="374"/>
      <c r="AK134" s="374"/>
      <c r="AL134" s="361"/>
      <c r="AM134" s="305" t="s">
        <v>823</v>
      </c>
      <c r="AN134" s="305"/>
      <c r="AO134" s="305"/>
      <c r="AP134" s="305"/>
      <c r="AQ134" s="305"/>
      <c r="AR134" s="305"/>
      <c r="AS134" s="305"/>
      <c r="AT134" s="305"/>
      <c r="AU134" s="305"/>
      <c r="AV134" s="305"/>
    </row>
    <row r="135" spans="1:48" s="177" customFormat="1" ht="19.5" hidden="1">
      <c r="A135" s="406" t="s">
        <v>748</v>
      </c>
      <c r="B135" s="407" t="s">
        <v>749</v>
      </c>
      <c r="C135" s="406"/>
      <c r="D135" s="406"/>
      <c r="E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E46+E45+E37+E33+E32+E31</f>
        <v>#REF!</v>
      </c>
      <c r="F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F46+F45+F37+F33+F32+F31</f>
        <v>#REF!</v>
      </c>
      <c r="G135" s="406">
        <f>SUM(G32:G32)</f>
        <v>0</v>
      </c>
      <c r="H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H46+H45+H37+H33+H32+H31</f>
        <v>#REF!</v>
      </c>
      <c r="I135" s="408" t="e">
        <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I46+I45+I37+I33+I32+I31</f>
        <v>#REF!</v>
      </c>
      <c r="J135" s="409"/>
      <c r="K135" s="410">
        <f>SUM(K22:K30,K32:K33,K35,K37,K39,K41,K43,K45,K47,K49,K51,K53,K55,K57,K59,K61,K63,K65,K67:K134)</f>
        <v>99.999999999999943</v>
      </c>
      <c r="L135" s="410">
        <f>SUM(L22:L30,L32:L33,L35,L37,L39,L41,L43,L45,L47,L49,L51,L53,L55,L57,L59,L61,L63,L65,L67:L134)</f>
        <v>1409.9999999999998</v>
      </c>
      <c r="M135" s="410">
        <f>SUM(M22:M134)</f>
        <v>704.99999999999989</v>
      </c>
      <c r="N135" s="409"/>
      <c r="O135" s="410">
        <f>SUM(O22:O30,O32:O33,O35,O37,O39,O41,O43,O45,O47,O49,O51,O53,O55,O57,O59,O61,O63,O65,O67:O134)</f>
        <v>77.920567375886563</v>
      </c>
      <c r="P135" s="410">
        <f>SUM(P22:P134)</f>
        <v>704.99999999999989</v>
      </c>
      <c r="Q135" s="410"/>
      <c r="R135" s="410">
        <f>SUM(R22:R30,R32:R33,R35,R37,R39,R41,R43,R45,R47,R49,R51,R53,R55,R57,R59,R61,R63,R65,R67:R134)</f>
        <v>77.211347517730545</v>
      </c>
      <c r="S135" s="410">
        <f>R135/O135*100</f>
        <v>99.089816871154497</v>
      </c>
      <c r="T135" s="410">
        <f>SUM(T22:T134)</f>
        <v>683.29</v>
      </c>
      <c r="U135" s="410">
        <f>T135*100/P135</f>
        <v>96.920567375886534</v>
      </c>
      <c r="V135" s="369"/>
      <c r="W135" s="369">
        <f>SUM(W31:W134)</f>
        <v>11.120000000000001</v>
      </c>
      <c r="X135" s="369" t="e">
        <f>#REF!+#REF!+#REF!+#REF!</f>
        <v>#REF!</v>
      </c>
      <c r="Y135" s="369"/>
      <c r="Z135" s="369"/>
      <c r="AA135" s="369">
        <f>SUM(AA31:AA134)</f>
        <v>2.8155319148936169</v>
      </c>
      <c r="AB135" s="369"/>
      <c r="AC135" s="369"/>
      <c r="AD135" s="369"/>
      <c r="AE135" s="369"/>
      <c r="AF135" s="369"/>
      <c r="AG135" s="369"/>
      <c r="AH135" s="369"/>
      <c r="AI135" s="369">
        <f>SUM(AI31:AI134)</f>
        <v>3.410283687943263</v>
      </c>
      <c r="AJ135" s="373"/>
      <c r="AK135" s="373"/>
      <c r="AL135" s="331"/>
      <c r="AM135" s="220"/>
      <c r="AN135" s="220"/>
      <c r="AO135" s="220"/>
      <c r="AP135" s="220"/>
      <c r="AQ135" s="220"/>
      <c r="AR135" s="220"/>
      <c r="AS135" s="220"/>
      <c r="AT135" s="220"/>
      <c r="AU135" s="220"/>
      <c r="AV135" s="220"/>
    </row>
    <row r="136" spans="1:48" ht="19.5" hidden="1">
      <c r="A136" s="296"/>
      <c r="B136" s="381" t="s">
        <v>756</v>
      </c>
      <c r="C136" s="296"/>
      <c r="D136" s="296"/>
      <c r="E136" s="296">
        <v>100</v>
      </c>
      <c r="F136" s="296" t="e">
        <f t="shared" ref="F136:AI136" si="21">F135</f>
        <v>#REF!</v>
      </c>
      <c r="G136" s="296">
        <f t="shared" si="21"/>
        <v>0</v>
      </c>
      <c r="H136" s="296" t="e">
        <f t="shared" si="21"/>
        <v>#REF!</v>
      </c>
      <c r="I136" s="296" t="e">
        <f t="shared" si="21"/>
        <v>#REF!</v>
      </c>
      <c r="J136" s="382"/>
      <c r="K136" s="383">
        <f t="shared" si="21"/>
        <v>99.999999999999943</v>
      </c>
      <c r="L136" s="383">
        <f>L135</f>
        <v>1409.9999999999998</v>
      </c>
      <c r="M136" s="383"/>
      <c r="N136" s="384"/>
      <c r="O136" s="383">
        <f>O135</f>
        <v>77.920567375886563</v>
      </c>
      <c r="P136" s="383">
        <f>P135</f>
        <v>704.99999999999989</v>
      </c>
      <c r="Q136" s="384"/>
      <c r="R136" s="383">
        <f t="shared" ref="R136:T136" si="22">R135</f>
        <v>77.211347517730545</v>
      </c>
      <c r="S136" s="383">
        <f t="shared" si="22"/>
        <v>99.089816871154497</v>
      </c>
      <c r="T136" s="383">
        <f t="shared" si="22"/>
        <v>683.29</v>
      </c>
      <c r="U136" s="385">
        <f>T136*100/P136</f>
        <v>96.920567375886534</v>
      </c>
      <c r="V136" s="382"/>
      <c r="W136" s="382">
        <f t="shared" si="21"/>
        <v>11.120000000000001</v>
      </c>
      <c r="X136" s="382" t="e">
        <f t="shared" si="21"/>
        <v>#REF!</v>
      </c>
      <c r="Y136" s="382"/>
      <c r="Z136" s="382"/>
      <c r="AA136" s="377">
        <f t="shared" si="21"/>
        <v>2.8155319148936169</v>
      </c>
      <c r="AB136" s="377"/>
      <c r="AC136" s="377"/>
      <c r="AD136" s="377"/>
      <c r="AE136" s="377"/>
      <c r="AF136" s="377"/>
      <c r="AG136" s="377"/>
      <c r="AH136" s="382"/>
      <c r="AI136" s="377">
        <f t="shared" si="21"/>
        <v>3.410283687943263</v>
      </c>
      <c r="AJ136" s="382"/>
      <c r="AK136" s="382"/>
      <c r="AL136" s="296"/>
      <c r="AM136" s="220"/>
      <c r="AN136" s="220"/>
      <c r="AO136" s="220"/>
      <c r="AP136" s="220"/>
      <c r="AQ136" s="220"/>
      <c r="AR136" s="220"/>
      <c r="AS136" s="220"/>
      <c r="AT136" s="220"/>
      <c r="AU136" s="220"/>
      <c r="AV136" s="220"/>
    </row>
    <row r="137" spans="1:48" s="220" customFormat="1" ht="19.5" hidden="1">
      <c r="A137" s="386"/>
      <c r="B137" s="387"/>
      <c r="C137" s="388"/>
      <c r="D137" s="389"/>
      <c r="E137" s="389"/>
      <c r="F137" s="389"/>
      <c r="G137" s="389"/>
      <c r="H137" s="389"/>
      <c r="I137" s="389"/>
      <c r="J137" s="390"/>
      <c r="K137" s="617"/>
      <c r="L137" s="617"/>
      <c r="M137" s="391"/>
      <c r="N137" s="390"/>
      <c r="O137" s="390"/>
      <c r="P137" s="390"/>
      <c r="Q137" s="390"/>
      <c r="R137" s="390"/>
      <c r="S137" s="390"/>
      <c r="T137" s="390"/>
      <c r="U137" s="390"/>
      <c r="V137" s="390"/>
      <c r="W137" s="390"/>
      <c r="X137" s="390"/>
      <c r="Y137" s="390"/>
      <c r="Z137" s="390"/>
      <c r="AA137" s="389"/>
      <c r="AB137" s="389"/>
      <c r="AC137" s="389"/>
      <c r="AD137" s="389"/>
      <c r="AE137" s="389"/>
      <c r="AF137" s="389"/>
      <c r="AG137" s="389"/>
      <c r="AH137" s="389"/>
      <c r="AI137" s="392"/>
      <c r="AJ137" s="392"/>
      <c r="AK137" s="392"/>
      <c r="AL137" s="393"/>
    </row>
    <row r="138" spans="1:48" s="220" customFormat="1" ht="19.5" hidden="1">
      <c r="A138" s="394"/>
      <c r="C138" s="311"/>
      <c r="D138" s="256"/>
      <c r="E138" s="256"/>
      <c r="F138" s="256"/>
      <c r="G138" s="256"/>
      <c r="H138" s="256"/>
      <c r="I138" s="256"/>
      <c r="J138" s="257"/>
      <c r="K138" s="257"/>
      <c r="L138" s="321"/>
      <c r="M138" s="321"/>
      <c r="N138" s="257"/>
      <c r="O138" s="257"/>
      <c r="P138" s="257"/>
      <c r="Q138" s="257"/>
      <c r="R138" s="257"/>
      <c r="S138" s="257"/>
      <c r="T138" s="257"/>
      <c r="U138" s="257"/>
      <c r="V138" s="257"/>
      <c r="W138" s="257"/>
      <c r="X138" s="257"/>
      <c r="Y138" s="257"/>
      <c r="Z138" s="257"/>
      <c r="AA138" s="256"/>
      <c r="AB138" s="256"/>
      <c r="AC138" s="256"/>
      <c r="AD138" s="256"/>
      <c r="AE138" s="256"/>
      <c r="AF138" s="256"/>
      <c r="AG138" s="256"/>
      <c r="AH138" s="256"/>
      <c r="AI138" s="256"/>
      <c r="AJ138" s="256"/>
      <c r="AK138" s="256"/>
      <c r="AL138" s="395"/>
    </row>
    <row r="139" spans="1:48" s="220" customFormat="1" ht="19.5" hidden="1">
      <c r="A139" s="394"/>
      <c r="C139" s="311"/>
      <c r="D139" s="256"/>
      <c r="E139" s="256"/>
      <c r="F139" s="256"/>
      <c r="G139" s="256"/>
      <c r="H139" s="256"/>
      <c r="I139" s="256"/>
      <c r="J139" s="257"/>
      <c r="K139" s="257"/>
      <c r="L139" s="321"/>
      <c r="M139" s="321"/>
      <c r="N139" s="257"/>
      <c r="O139" s="257"/>
      <c r="P139" s="257"/>
      <c r="Q139" s="257"/>
      <c r="R139" s="257"/>
      <c r="S139" s="257"/>
      <c r="T139" s="257"/>
      <c r="U139" s="257"/>
      <c r="V139" s="257"/>
      <c r="W139" s="257"/>
      <c r="X139" s="257"/>
      <c r="Y139" s="257"/>
      <c r="Z139" s="257"/>
      <c r="AA139" s="256"/>
      <c r="AB139" s="256"/>
      <c r="AC139" s="256"/>
      <c r="AD139" s="256"/>
      <c r="AE139" s="256"/>
      <c r="AF139" s="256"/>
      <c r="AG139" s="256"/>
      <c r="AH139" s="256"/>
      <c r="AI139" s="256"/>
      <c r="AJ139" s="256"/>
      <c r="AK139" s="256"/>
      <c r="AL139" s="395"/>
    </row>
    <row r="140" spans="1:48" s="220" customFormat="1" ht="19.5" hidden="1">
      <c r="A140" s="394"/>
      <c r="B140" s="258" t="s">
        <v>750</v>
      </c>
      <c r="C140" s="312"/>
      <c r="D140" s="259"/>
      <c r="E140" s="259"/>
      <c r="F140" s="259"/>
      <c r="G140" s="259"/>
      <c r="H140" s="259"/>
      <c r="I140" s="259"/>
      <c r="J140" s="260"/>
      <c r="K140" s="261"/>
      <c r="L140" s="322"/>
      <c r="M140" s="322"/>
      <c r="N140" s="261"/>
      <c r="O140" s="261"/>
      <c r="P140" s="261"/>
      <c r="Q140" s="258" t="s">
        <v>770</v>
      </c>
      <c r="R140" s="261"/>
      <c r="S140" s="261"/>
      <c r="T140" s="261"/>
      <c r="U140" s="261"/>
      <c r="V140" s="261"/>
      <c r="W140" s="261"/>
      <c r="X140" s="261"/>
      <c r="Y140" s="261"/>
      <c r="Z140" s="261"/>
      <c r="AA140" s="259"/>
      <c r="AB140" s="259"/>
      <c r="AC140" s="259"/>
      <c r="AD140" s="259"/>
      <c r="AE140" s="259"/>
      <c r="AF140" s="259"/>
      <c r="AG140" s="259"/>
      <c r="AH140" s="259"/>
      <c r="AI140" s="259"/>
      <c r="AL140" s="396"/>
    </row>
    <row r="141" spans="1:48" s="220" customFormat="1" ht="19.5" hidden="1">
      <c r="A141" s="397"/>
      <c r="B141" s="398" t="s">
        <v>751</v>
      </c>
      <c r="C141" s="399"/>
      <c r="D141" s="400"/>
      <c r="E141" s="400"/>
      <c r="F141" s="400"/>
      <c r="G141" s="400"/>
      <c r="H141" s="400"/>
      <c r="I141" s="400"/>
      <c r="J141" s="401"/>
      <c r="K141" s="401"/>
      <c r="L141" s="402"/>
      <c r="M141" s="402"/>
      <c r="N141" s="401"/>
      <c r="O141" s="401"/>
      <c r="P141" s="401"/>
      <c r="Q141" s="398" t="s">
        <v>751</v>
      </c>
      <c r="R141" s="403"/>
      <c r="S141" s="401"/>
      <c r="T141" s="401"/>
      <c r="U141" s="401"/>
      <c r="V141" s="401"/>
      <c r="W141" s="401"/>
      <c r="X141" s="401"/>
      <c r="Y141" s="401"/>
      <c r="Z141" s="401"/>
      <c r="AA141" s="400"/>
      <c r="AB141" s="400"/>
      <c r="AC141" s="400"/>
      <c r="AD141" s="400"/>
      <c r="AE141" s="400"/>
      <c r="AF141" s="400"/>
      <c r="AG141" s="400"/>
      <c r="AH141" s="400"/>
      <c r="AI141" s="400"/>
      <c r="AJ141" s="400"/>
      <c r="AK141" s="400"/>
      <c r="AL141" s="404"/>
    </row>
    <row r="142" spans="1:48" s="220" customFormat="1" ht="19.5" hidden="1">
      <c r="C142" s="313"/>
      <c r="L142" s="323"/>
      <c r="M142" s="323"/>
      <c r="V142" s="220" t="s">
        <v>457</v>
      </c>
      <c r="X142" s="263"/>
    </row>
    <row r="143" spans="1:48" s="220" customFormat="1" ht="19.5" hidden="1">
      <c r="C143" s="313"/>
      <c r="L143" s="323"/>
      <c r="M143" s="323"/>
      <c r="X143" s="263"/>
    </row>
    <row r="144" spans="1:48" s="220" customFormat="1" ht="19.5" hidden="1">
      <c r="C144" s="313"/>
      <c r="L144" s="323"/>
      <c r="M144" s="323"/>
      <c r="X144" s="263"/>
    </row>
    <row r="145" spans="3:48" s="220" customFormat="1" ht="19.5" hidden="1">
      <c r="C145" s="313"/>
      <c r="L145" s="323"/>
      <c r="M145" s="323"/>
      <c r="X145" s="263"/>
    </row>
    <row r="146" spans="3:48" ht="19.5" hidden="1">
      <c r="C146" s="313"/>
      <c r="D146" s="220"/>
      <c r="E146" s="220"/>
      <c r="F146" s="220"/>
      <c r="G146" s="220"/>
      <c r="H146" s="220"/>
      <c r="I146" s="220"/>
      <c r="J146" s="220"/>
      <c r="K146" s="220"/>
      <c r="L146" s="323"/>
      <c r="M146" s="323"/>
      <c r="N146" s="220"/>
      <c r="O146" s="220"/>
      <c r="P146" s="220"/>
      <c r="Q146" s="220"/>
      <c r="R146" s="220"/>
      <c r="S146" s="220"/>
      <c r="T146" s="220"/>
      <c r="U146" s="220"/>
      <c r="V146" s="220"/>
      <c r="W146" s="220"/>
      <c r="X146" s="263"/>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row>
    <row r="147" spans="3:48" ht="19.5" hidden="1">
      <c r="C147" s="313"/>
      <c r="D147" s="220"/>
      <c r="E147" s="220"/>
      <c r="F147" s="220"/>
      <c r="G147" s="220"/>
      <c r="H147" s="220"/>
      <c r="I147" s="220"/>
      <c r="J147" s="220"/>
      <c r="K147" s="220"/>
      <c r="L147" s="323"/>
      <c r="M147" s="323"/>
      <c r="N147" s="220"/>
      <c r="O147" s="220"/>
      <c r="P147" s="220"/>
      <c r="Q147" s="220"/>
      <c r="R147" s="220"/>
      <c r="S147" s="220"/>
      <c r="T147" s="220"/>
      <c r="U147" s="220"/>
      <c r="V147" s="220"/>
      <c r="W147" s="220"/>
      <c r="X147" s="263"/>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row>
    <row r="148" spans="3:48" ht="19.5" hidden="1">
      <c r="C148" s="313"/>
      <c r="D148" s="220"/>
      <c r="E148" s="220"/>
      <c r="F148" s="220"/>
      <c r="G148" s="220"/>
      <c r="H148" s="220"/>
      <c r="I148" s="220"/>
      <c r="J148" s="220"/>
      <c r="K148" s="220"/>
      <c r="L148" s="323"/>
      <c r="M148" s="323"/>
      <c r="N148" s="220"/>
      <c r="O148" s="220"/>
      <c r="P148" s="220"/>
      <c r="Q148" s="220"/>
      <c r="R148" s="220"/>
      <c r="S148" s="220"/>
      <c r="T148" s="220"/>
      <c r="U148" s="220"/>
      <c r="V148" s="220"/>
      <c r="W148" s="220"/>
      <c r="X148" s="263"/>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row>
    <row r="149" spans="3:48" ht="19.5" hidden="1">
      <c r="C149" s="313"/>
      <c r="D149" s="220"/>
      <c r="E149" s="220"/>
      <c r="F149" s="220"/>
      <c r="G149" s="220"/>
      <c r="H149" s="220"/>
      <c r="I149" s="220"/>
      <c r="J149" s="220"/>
      <c r="K149" s="220"/>
      <c r="L149" s="323"/>
      <c r="M149" s="323"/>
      <c r="N149" s="220"/>
      <c r="O149" s="220"/>
      <c r="P149" s="220"/>
      <c r="Q149" s="220"/>
      <c r="R149" s="220"/>
      <c r="S149" s="220"/>
      <c r="T149" s="220"/>
      <c r="U149" s="220"/>
      <c r="V149" s="220"/>
      <c r="W149" s="220"/>
      <c r="X149" s="263"/>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row>
    <row r="150" spans="3:48" ht="19.5" hidden="1">
      <c r="C150" s="313"/>
      <c r="D150" s="220"/>
      <c r="E150" s="220"/>
      <c r="F150" s="220"/>
      <c r="G150" s="220"/>
      <c r="H150" s="220"/>
      <c r="I150" s="220"/>
      <c r="J150" s="220"/>
      <c r="K150" s="220"/>
      <c r="L150" s="323"/>
      <c r="M150" s="323"/>
      <c r="N150" s="220"/>
      <c r="O150" s="220"/>
      <c r="P150" s="220"/>
      <c r="Q150" s="220"/>
      <c r="R150" s="220"/>
      <c r="S150" s="220"/>
      <c r="T150" s="220"/>
      <c r="U150" s="220"/>
      <c r="V150" s="220"/>
      <c r="W150" s="220"/>
      <c r="X150" s="263"/>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row>
    <row r="151" spans="3:48" ht="19.5" hidden="1">
      <c r="C151" s="313"/>
      <c r="D151" s="220"/>
      <c r="E151" s="220"/>
      <c r="F151" s="220"/>
      <c r="G151" s="220"/>
      <c r="H151" s="220"/>
      <c r="I151" s="220"/>
      <c r="J151" s="220"/>
      <c r="K151" s="220"/>
      <c r="L151" s="323"/>
      <c r="M151" s="323"/>
      <c r="N151" s="220"/>
      <c r="O151" s="220"/>
      <c r="P151" s="220"/>
      <c r="Q151" s="220"/>
      <c r="R151" s="220"/>
      <c r="S151" s="220"/>
      <c r="T151" s="220"/>
      <c r="U151" s="220"/>
      <c r="V151" s="220"/>
      <c r="W151" s="220"/>
      <c r="X151" s="263"/>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row>
    <row r="152" spans="3:48" ht="19.5" hidden="1">
      <c r="C152" s="313"/>
      <c r="D152" s="220"/>
      <c r="E152" s="220"/>
      <c r="F152" s="220"/>
      <c r="G152" s="220"/>
      <c r="H152" s="220"/>
      <c r="I152" s="220"/>
      <c r="J152" s="220"/>
      <c r="K152" s="220"/>
      <c r="L152" s="323"/>
      <c r="M152" s="323"/>
      <c r="N152" s="220"/>
      <c r="O152" s="220"/>
      <c r="P152" s="220"/>
      <c r="Q152" s="220"/>
      <c r="R152" s="220"/>
      <c r="S152" s="220"/>
      <c r="T152" s="220"/>
      <c r="U152" s="220"/>
      <c r="V152" s="220"/>
      <c r="W152" s="220"/>
      <c r="X152" s="263"/>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row>
    <row r="153" spans="3:48" ht="19.5" hidden="1">
      <c r="C153" s="313"/>
      <c r="D153" s="220"/>
      <c r="E153" s="220"/>
      <c r="F153" s="220"/>
      <c r="G153" s="220"/>
      <c r="H153" s="220"/>
      <c r="I153" s="220"/>
      <c r="J153" s="220"/>
      <c r="K153" s="220"/>
      <c r="L153" s="323"/>
      <c r="M153" s="323"/>
      <c r="N153" s="220"/>
      <c r="O153" s="220"/>
      <c r="P153" s="220"/>
      <c r="Q153" s="220"/>
      <c r="R153" s="220"/>
      <c r="S153" s="220"/>
      <c r="T153" s="220"/>
      <c r="U153" s="220"/>
      <c r="V153" s="220"/>
      <c r="W153" s="220"/>
      <c r="X153" s="263"/>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row>
    <row r="154" spans="3:48" ht="19.5" hidden="1">
      <c r="C154" s="313"/>
      <c r="D154" s="220"/>
      <c r="E154" s="220"/>
      <c r="F154" s="220"/>
      <c r="G154" s="220"/>
      <c r="H154" s="220"/>
      <c r="I154" s="220"/>
      <c r="J154" s="220"/>
      <c r="K154" s="220"/>
      <c r="L154" s="323"/>
      <c r="M154" s="323"/>
      <c r="N154" s="220"/>
      <c r="O154" s="220"/>
      <c r="P154" s="220"/>
      <c r="Q154" s="220"/>
      <c r="R154" s="220"/>
      <c r="S154" s="220"/>
      <c r="T154" s="220"/>
      <c r="U154" s="220"/>
      <c r="V154" s="220"/>
      <c r="W154" s="220"/>
      <c r="X154" s="263"/>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row>
    <row r="155" spans="3:48" ht="19.5" hidden="1">
      <c r="C155" s="313"/>
      <c r="D155" s="220"/>
      <c r="E155" s="220"/>
      <c r="F155" s="220"/>
      <c r="G155" s="220"/>
      <c r="H155" s="220"/>
      <c r="I155" s="220"/>
      <c r="J155" s="220"/>
      <c r="K155" s="220"/>
      <c r="L155" s="323"/>
      <c r="M155" s="323"/>
      <c r="N155" s="220"/>
      <c r="O155" s="220"/>
      <c r="P155" s="220"/>
      <c r="Q155" s="220"/>
      <c r="R155" s="220"/>
      <c r="S155" s="220"/>
      <c r="T155" s="220"/>
      <c r="U155" s="220"/>
      <c r="V155" s="220"/>
      <c r="W155" s="220"/>
      <c r="X155" s="263"/>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row>
    <row r="156" spans="3:48" ht="19.5" hidden="1">
      <c r="C156" s="313"/>
      <c r="D156" s="220"/>
      <c r="E156" s="220"/>
      <c r="F156" s="220"/>
      <c r="G156" s="220"/>
      <c r="H156" s="220"/>
      <c r="I156" s="220"/>
      <c r="J156" s="220"/>
      <c r="K156" s="220"/>
      <c r="L156" s="323"/>
      <c r="M156" s="323"/>
      <c r="N156" s="220"/>
      <c r="O156" s="220"/>
      <c r="P156" s="220"/>
      <c r="Q156" s="220"/>
      <c r="R156" s="220"/>
      <c r="S156" s="220"/>
      <c r="T156" s="220"/>
      <c r="U156" s="220"/>
      <c r="V156" s="220"/>
      <c r="W156" s="220"/>
      <c r="X156" s="263"/>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row>
    <row r="157" spans="3:48" ht="19.5" hidden="1">
      <c r="C157" s="313"/>
      <c r="D157" s="220"/>
      <c r="E157" s="220"/>
      <c r="F157" s="220"/>
      <c r="G157" s="220"/>
      <c r="H157" s="220"/>
      <c r="I157" s="220"/>
      <c r="J157" s="220"/>
      <c r="K157" s="220"/>
      <c r="L157" s="323"/>
      <c r="M157" s="323"/>
      <c r="N157" s="220"/>
      <c r="O157" s="220"/>
      <c r="P157" s="220"/>
      <c r="Q157" s="220"/>
      <c r="R157" s="220"/>
      <c r="S157" s="220"/>
      <c r="T157" s="220"/>
      <c r="U157" s="220"/>
      <c r="V157" s="220"/>
      <c r="W157" s="220"/>
      <c r="X157" s="263"/>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row>
    <row r="158" spans="3:48" ht="19.5" hidden="1">
      <c r="C158" s="313"/>
      <c r="D158" s="220"/>
      <c r="E158" s="220"/>
      <c r="F158" s="220"/>
      <c r="G158" s="220"/>
      <c r="H158" s="220"/>
      <c r="I158" s="220"/>
      <c r="J158" s="220"/>
      <c r="K158" s="220"/>
      <c r="L158" s="323"/>
      <c r="M158" s="323"/>
      <c r="N158" s="220"/>
      <c r="O158" s="220"/>
      <c r="P158" s="220"/>
      <c r="Q158" s="220"/>
      <c r="R158" s="220"/>
      <c r="S158" s="220"/>
      <c r="T158" s="220"/>
      <c r="U158" s="220"/>
      <c r="V158" s="220"/>
      <c r="W158" s="220"/>
      <c r="X158" s="263"/>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row>
    <row r="159" spans="3:48" ht="19.5" hidden="1">
      <c r="C159" s="313"/>
      <c r="D159" s="220"/>
      <c r="E159" s="220"/>
      <c r="F159" s="220"/>
      <c r="G159" s="220"/>
      <c r="H159" s="220"/>
      <c r="I159" s="220"/>
      <c r="J159" s="220"/>
      <c r="K159" s="220"/>
      <c r="L159" s="323"/>
      <c r="M159" s="323"/>
      <c r="N159" s="220"/>
      <c r="O159" s="220"/>
      <c r="P159" s="220"/>
      <c r="Q159" s="220"/>
      <c r="R159" s="220"/>
      <c r="S159" s="220"/>
      <c r="T159" s="220"/>
      <c r="U159" s="220"/>
      <c r="V159" s="220"/>
      <c r="W159" s="220"/>
      <c r="X159" s="263"/>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row>
    <row r="160" spans="3:48" ht="19.5" hidden="1">
      <c r="C160" s="313"/>
      <c r="D160" s="220"/>
      <c r="E160" s="220"/>
      <c r="F160" s="220"/>
      <c r="G160" s="220"/>
      <c r="H160" s="220"/>
      <c r="I160" s="220"/>
      <c r="J160" s="220"/>
      <c r="K160" s="220"/>
      <c r="L160" s="323"/>
      <c r="M160" s="323"/>
      <c r="N160" s="220"/>
      <c r="O160" s="220"/>
      <c r="P160" s="220"/>
      <c r="Q160" s="220"/>
      <c r="R160" s="220"/>
      <c r="S160" s="220"/>
      <c r="T160" s="220"/>
      <c r="U160" s="220"/>
      <c r="V160" s="220"/>
      <c r="W160" s="220"/>
      <c r="X160" s="263"/>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row>
    <row r="161" spans="3:48" ht="19.5" hidden="1">
      <c r="C161" s="313"/>
      <c r="D161" s="220"/>
      <c r="E161" s="220"/>
      <c r="F161" s="220"/>
      <c r="G161" s="220"/>
      <c r="H161" s="220"/>
      <c r="I161" s="220"/>
      <c r="J161" s="220"/>
      <c r="K161" s="220"/>
      <c r="L161" s="323"/>
      <c r="M161" s="323"/>
      <c r="N161" s="220"/>
      <c r="O161" s="220"/>
      <c r="P161" s="220"/>
      <c r="Q161" s="220"/>
      <c r="R161" s="220"/>
      <c r="S161" s="220"/>
      <c r="T161" s="220"/>
      <c r="U161" s="220"/>
      <c r="V161" s="220"/>
      <c r="W161" s="220"/>
      <c r="X161" s="263"/>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row>
    <row r="162" spans="3:48" ht="19.5" hidden="1">
      <c r="C162" s="313"/>
      <c r="D162" s="220"/>
      <c r="E162" s="220"/>
      <c r="F162" s="220"/>
      <c r="G162" s="220"/>
      <c r="H162" s="220"/>
      <c r="I162" s="220"/>
      <c r="J162" s="220"/>
      <c r="K162" s="220"/>
      <c r="L162" s="323"/>
      <c r="M162" s="323"/>
      <c r="N162" s="220"/>
      <c r="O162" s="220"/>
      <c r="P162" s="220"/>
      <c r="Q162" s="220"/>
      <c r="R162" s="220"/>
      <c r="S162" s="220"/>
      <c r="T162" s="220"/>
      <c r="U162" s="220"/>
      <c r="V162" s="220"/>
      <c r="W162" s="220"/>
      <c r="X162" s="263"/>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row>
    <row r="163" spans="3:48" ht="19.5" hidden="1">
      <c r="C163" s="313"/>
      <c r="D163" s="220"/>
      <c r="E163" s="220"/>
      <c r="F163" s="220"/>
      <c r="G163" s="220"/>
      <c r="H163" s="220"/>
      <c r="I163" s="220"/>
      <c r="J163" s="220"/>
      <c r="K163" s="220"/>
      <c r="L163" s="323"/>
      <c r="M163" s="323"/>
      <c r="N163" s="220"/>
      <c r="O163" s="220"/>
      <c r="P163" s="220"/>
      <c r="Q163" s="220"/>
      <c r="R163" s="220"/>
      <c r="S163" s="220"/>
      <c r="T163" s="220"/>
      <c r="U163" s="220"/>
      <c r="V163" s="220"/>
      <c r="W163" s="220"/>
      <c r="X163" s="263"/>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row>
    <row r="164" spans="3:48" ht="19.5" hidden="1">
      <c r="C164" s="313"/>
      <c r="D164" s="220"/>
      <c r="E164" s="220"/>
      <c r="F164" s="220"/>
      <c r="G164" s="220"/>
      <c r="H164" s="220"/>
      <c r="I164" s="220"/>
      <c r="J164" s="220"/>
      <c r="K164" s="220"/>
      <c r="L164" s="323"/>
      <c r="M164" s="323"/>
      <c r="N164" s="220"/>
      <c r="O164" s="220"/>
      <c r="P164" s="220"/>
      <c r="Q164" s="220"/>
      <c r="R164" s="220"/>
      <c r="S164" s="220"/>
      <c r="T164" s="220"/>
      <c r="U164" s="220"/>
      <c r="V164" s="220"/>
      <c r="W164" s="220"/>
      <c r="X164" s="263"/>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row>
    <row r="165" spans="3:48" ht="19.5" hidden="1">
      <c r="C165" s="313"/>
      <c r="D165" s="220"/>
      <c r="E165" s="220"/>
      <c r="F165" s="220"/>
      <c r="G165" s="220"/>
      <c r="H165" s="220"/>
      <c r="I165" s="220"/>
      <c r="J165" s="220"/>
      <c r="K165" s="220"/>
      <c r="L165" s="323"/>
      <c r="M165" s="323"/>
      <c r="N165" s="220"/>
      <c r="O165" s="220"/>
      <c r="P165" s="220"/>
      <c r="Q165" s="220"/>
      <c r="R165" s="220"/>
      <c r="S165" s="220"/>
      <c r="T165" s="220"/>
      <c r="U165" s="220"/>
      <c r="V165" s="220"/>
      <c r="W165" s="220"/>
      <c r="X165" s="263"/>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row>
    <row r="166" spans="3:48">
      <c r="K166" s="410">
        <f>SUBTOTAL(9,K23)</f>
        <v>10.638297872340427</v>
      </c>
      <c r="L166" s="410">
        <f t="shared" ref="L166:M166" si="23">SUBTOTAL(9,L23)</f>
        <v>150</v>
      </c>
      <c r="M166" s="410">
        <f t="shared" si="23"/>
        <v>106.5</v>
      </c>
      <c r="N166" s="409"/>
      <c r="O166" s="410">
        <f t="shared" ref="O166:P166" si="24">SUBTOTAL(9,O23)</f>
        <v>15.106382978723406</v>
      </c>
      <c r="P166" s="410">
        <f t="shared" si="24"/>
        <v>106.5</v>
      </c>
      <c r="Q166" s="410"/>
      <c r="R166" s="410">
        <f>SUBTOTAL(9,R23)</f>
        <v>15.106382978723406</v>
      </c>
      <c r="S166" s="410">
        <f>R166/O166*100</f>
        <v>100</v>
      </c>
      <c r="T166" s="410">
        <f>SUBTOTAL(9,T23)</f>
        <v>105.39</v>
      </c>
      <c r="U166" s="410">
        <f>T166*100/P166</f>
        <v>98.957746478873233</v>
      </c>
    </row>
  </sheetData>
  <autoFilter ref="AM1:AM165" xr:uid="{00000000-0009-0000-0000-00000D000000}">
    <filterColumn colId="0">
      <filters>
        <filter val="PAHIRO"/>
      </filters>
    </filterColumn>
  </autoFilter>
  <mergeCells count="22">
    <mergeCell ref="AL19:AL20"/>
    <mergeCell ref="K137:L137"/>
    <mergeCell ref="J19:M19"/>
    <mergeCell ref="N19:P19"/>
    <mergeCell ref="Q19:S19"/>
    <mergeCell ref="T19:U19"/>
    <mergeCell ref="V19:X19"/>
    <mergeCell ref="Y19:AA19"/>
    <mergeCell ref="AB19:AD19"/>
    <mergeCell ref="AE19:AG19"/>
    <mergeCell ref="AH19:AI19"/>
    <mergeCell ref="AJ19:AK19"/>
    <mergeCell ref="A1:AL1"/>
    <mergeCell ref="A2:AL2"/>
    <mergeCell ref="A3:AL3"/>
    <mergeCell ref="A4:AL4"/>
    <mergeCell ref="AH6:AI6"/>
    <mergeCell ref="A19:A20"/>
    <mergeCell ref="B19:B20"/>
    <mergeCell ref="C19:C20"/>
    <mergeCell ref="D19:F19"/>
    <mergeCell ref="G19:I19"/>
  </mergeCells>
  <pageMargins left="0.3" right="0.2" top="0.25" bottom="0.45" header="0.2" footer="0.3"/>
  <pageSetup paperSize="9" scale="75"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1:G101"/>
  <sheetViews>
    <sheetView workbookViewId="0">
      <selection activeCell="B13" sqref="B13"/>
    </sheetView>
  </sheetViews>
  <sheetFormatPr defaultColWidth="9.140625" defaultRowHeight="15"/>
  <cols>
    <col min="1" max="1" width="11.140625" style="222" customWidth="1"/>
    <col min="2" max="2" width="63.7109375" style="222" customWidth="1"/>
    <col min="3" max="3" width="15.7109375" style="222" customWidth="1"/>
    <col min="4" max="4" width="21.85546875" style="222" customWidth="1"/>
    <col min="5" max="5" width="12.28515625" style="222" customWidth="1"/>
    <col min="6" max="6" width="12.140625" style="221" customWidth="1"/>
    <col min="7" max="16384" width="9.140625" style="222"/>
  </cols>
  <sheetData>
    <row r="1" spans="1:7" ht="21" customHeight="1">
      <c r="A1" s="632" t="s">
        <v>630</v>
      </c>
      <c r="B1" s="633"/>
      <c r="C1" s="633"/>
      <c r="D1" s="633"/>
      <c r="E1" s="633"/>
    </row>
    <row r="2" spans="1:7" ht="40.9" customHeight="1">
      <c r="A2" s="223" t="s">
        <v>631</v>
      </c>
      <c r="B2" s="223" t="s">
        <v>632</v>
      </c>
      <c r="C2" s="224" t="s">
        <v>633</v>
      </c>
      <c r="D2" s="224" t="s">
        <v>634</v>
      </c>
      <c r="E2" s="224" t="s">
        <v>635</v>
      </c>
    </row>
    <row r="3" spans="1:7" ht="23.25">
      <c r="A3" s="225">
        <v>1</v>
      </c>
      <c r="B3" s="226" t="s">
        <v>32</v>
      </c>
      <c r="C3" s="227">
        <f>SUM(C4:C11)</f>
        <v>36500</v>
      </c>
      <c r="D3" s="228"/>
      <c r="E3" s="229">
        <f>SUM(E4:E11)</f>
        <v>22500</v>
      </c>
    </row>
    <row r="4" spans="1:7" ht="23.25">
      <c r="A4" s="225">
        <v>1</v>
      </c>
      <c r="B4" s="230" t="s">
        <v>19</v>
      </c>
      <c r="C4" s="227">
        <v>10000</v>
      </c>
      <c r="D4" s="231" t="s">
        <v>636</v>
      </c>
      <c r="E4" s="232">
        <v>8000</v>
      </c>
    </row>
    <row r="5" spans="1:7" ht="24">
      <c r="A5" s="233">
        <v>2</v>
      </c>
      <c r="B5" s="230" t="s">
        <v>20</v>
      </c>
      <c r="C5" s="227">
        <v>6000</v>
      </c>
      <c r="D5" s="231" t="s">
        <v>637</v>
      </c>
      <c r="E5" s="232">
        <v>4000</v>
      </c>
    </row>
    <row r="6" spans="1:7" ht="23.25">
      <c r="A6" s="225">
        <v>3</v>
      </c>
      <c r="B6" s="234" t="s">
        <v>35</v>
      </c>
      <c r="C6" s="227">
        <v>500</v>
      </c>
      <c r="D6" s="231" t="s">
        <v>636</v>
      </c>
      <c r="E6" s="232">
        <v>500</v>
      </c>
    </row>
    <row r="7" spans="1:7" ht="23.25">
      <c r="A7" s="225">
        <v>4</v>
      </c>
      <c r="B7" s="234" t="s">
        <v>38</v>
      </c>
      <c r="C7" s="227">
        <v>1000</v>
      </c>
      <c r="D7" s="231" t="s">
        <v>636</v>
      </c>
      <c r="E7" s="232">
        <f t="shared" ref="E7:E67" si="0">C7/2</f>
        <v>500</v>
      </c>
    </row>
    <row r="8" spans="1:7" ht="23.25">
      <c r="A8" s="225">
        <v>5</v>
      </c>
      <c r="B8" s="234" t="s">
        <v>638</v>
      </c>
      <c r="C8" s="227">
        <v>2000</v>
      </c>
      <c r="D8" s="231" t="s">
        <v>636</v>
      </c>
      <c r="E8" s="232">
        <v>1000</v>
      </c>
    </row>
    <row r="9" spans="1:7" ht="24">
      <c r="A9" s="233">
        <v>6</v>
      </c>
      <c r="B9" s="234" t="s">
        <v>639</v>
      </c>
      <c r="C9" s="227">
        <v>1000</v>
      </c>
      <c r="D9" s="231" t="s">
        <v>636</v>
      </c>
      <c r="E9" s="232">
        <f t="shared" si="0"/>
        <v>500</v>
      </c>
    </row>
    <row r="10" spans="1:7" ht="48">
      <c r="A10" s="233" t="s">
        <v>244</v>
      </c>
      <c r="B10" s="234" t="s">
        <v>640</v>
      </c>
      <c r="C10" s="233">
        <v>1000</v>
      </c>
      <c r="D10" s="231" t="s">
        <v>636</v>
      </c>
      <c r="E10" s="232">
        <f t="shared" si="0"/>
        <v>500</v>
      </c>
      <c r="F10" s="222"/>
    </row>
    <row r="11" spans="1:7" ht="31.15" customHeight="1">
      <c r="A11" s="225">
        <v>7</v>
      </c>
      <c r="B11" s="230" t="s">
        <v>641</v>
      </c>
      <c r="C11" s="227">
        <v>15000</v>
      </c>
      <c r="D11" s="235" t="s">
        <v>642</v>
      </c>
      <c r="E11" s="232">
        <f t="shared" si="0"/>
        <v>7500</v>
      </c>
      <c r="G11" s="222" t="s">
        <v>457</v>
      </c>
    </row>
    <row r="12" spans="1:7" ht="23.25">
      <c r="A12" s="225">
        <v>2</v>
      </c>
      <c r="B12" s="226" t="s">
        <v>643</v>
      </c>
      <c r="C12" s="236">
        <f>SUM(C13:C28)</f>
        <v>20700</v>
      </c>
      <c r="D12" s="237"/>
      <c r="E12" s="229">
        <f>SUM(E13:E28)</f>
        <v>10650</v>
      </c>
    </row>
    <row r="13" spans="1:7" ht="24">
      <c r="A13" s="233">
        <v>1</v>
      </c>
      <c r="B13" s="238" t="s">
        <v>116</v>
      </c>
      <c r="C13" s="239">
        <v>500</v>
      </c>
      <c r="D13" s="235" t="s">
        <v>642</v>
      </c>
      <c r="E13" s="232">
        <f t="shared" si="0"/>
        <v>250</v>
      </c>
    </row>
    <row r="14" spans="1:7" ht="24">
      <c r="A14" s="233">
        <v>2</v>
      </c>
      <c r="B14" s="238" t="s">
        <v>120</v>
      </c>
      <c r="C14" s="239">
        <v>600</v>
      </c>
      <c r="D14" s="235" t="s">
        <v>642</v>
      </c>
      <c r="E14" s="232">
        <v>0</v>
      </c>
    </row>
    <row r="15" spans="1:7" ht="24">
      <c r="A15" s="233">
        <v>3</v>
      </c>
      <c r="B15" s="238" t="s">
        <v>121</v>
      </c>
      <c r="C15" s="239">
        <v>600</v>
      </c>
      <c r="D15" s="235" t="s">
        <v>642</v>
      </c>
      <c r="E15" s="232">
        <v>0</v>
      </c>
    </row>
    <row r="16" spans="1:7" ht="24">
      <c r="A16" s="233">
        <v>4</v>
      </c>
      <c r="B16" s="238" t="s">
        <v>44</v>
      </c>
      <c r="C16" s="239">
        <v>600</v>
      </c>
      <c r="D16" s="235" t="s">
        <v>642</v>
      </c>
      <c r="E16" s="232">
        <v>0</v>
      </c>
    </row>
    <row r="17" spans="1:5" ht="24">
      <c r="A17" s="233">
        <v>5</v>
      </c>
      <c r="B17" s="238" t="s">
        <v>644</v>
      </c>
      <c r="C17" s="240">
        <v>500</v>
      </c>
      <c r="D17" s="231" t="s">
        <v>636</v>
      </c>
      <c r="E17" s="232">
        <v>500</v>
      </c>
    </row>
    <row r="18" spans="1:5" ht="24">
      <c r="A18" s="233">
        <v>6</v>
      </c>
      <c r="B18" s="238" t="s">
        <v>115</v>
      </c>
      <c r="C18" s="240">
        <v>5000</v>
      </c>
      <c r="D18" s="231" t="s">
        <v>636</v>
      </c>
      <c r="E18" s="232">
        <v>4000</v>
      </c>
    </row>
    <row r="19" spans="1:5" ht="24">
      <c r="A19" s="233">
        <v>7</v>
      </c>
      <c r="B19" s="238" t="s">
        <v>118</v>
      </c>
      <c r="C19" s="240">
        <v>600</v>
      </c>
      <c r="D19" s="231" t="s">
        <v>636</v>
      </c>
      <c r="E19" s="232">
        <v>0</v>
      </c>
    </row>
    <row r="20" spans="1:5" ht="24">
      <c r="A20" s="233">
        <v>8</v>
      </c>
      <c r="B20" s="238" t="s">
        <v>119</v>
      </c>
      <c r="C20" s="240">
        <v>1200</v>
      </c>
      <c r="D20" s="235" t="s">
        <v>642</v>
      </c>
      <c r="E20" s="232">
        <v>1000</v>
      </c>
    </row>
    <row r="21" spans="1:5" ht="24">
      <c r="A21" s="233">
        <v>9</v>
      </c>
      <c r="B21" s="238" t="s">
        <v>122</v>
      </c>
      <c r="C21" s="240">
        <v>1200</v>
      </c>
      <c r="D21" s="235" t="s">
        <v>642</v>
      </c>
      <c r="E21" s="232">
        <v>0</v>
      </c>
    </row>
    <row r="22" spans="1:5" ht="24">
      <c r="A22" s="233">
        <v>10</v>
      </c>
      <c r="B22" s="238" t="s">
        <v>123</v>
      </c>
      <c r="C22" s="240">
        <v>6000</v>
      </c>
      <c r="D22" s="235" t="s">
        <v>642</v>
      </c>
      <c r="E22" s="232">
        <f t="shared" si="0"/>
        <v>3000</v>
      </c>
    </row>
    <row r="23" spans="1:5" ht="24">
      <c r="A23" s="233">
        <v>11</v>
      </c>
      <c r="B23" s="238" t="s">
        <v>124</v>
      </c>
      <c r="C23" s="240">
        <v>400</v>
      </c>
      <c r="D23" s="235" t="s">
        <v>642</v>
      </c>
      <c r="E23" s="232">
        <v>0</v>
      </c>
    </row>
    <row r="24" spans="1:5" ht="24">
      <c r="A24" s="233">
        <v>12</v>
      </c>
      <c r="B24" s="238" t="s">
        <v>125</v>
      </c>
      <c r="C24" s="240">
        <v>400</v>
      </c>
      <c r="D24" s="235" t="s">
        <v>642</v>
      </c>
      <c r="E24" s="232">
        <v>0</v>
      </c>
    </row>
    <row r="25" spans="1:5" ht="24">
      <c r="A25" s="233">
        <v>13</v>
      </c>
      <c r="B25" s="238" t="s">
        <v>126</v>
      </c>
      <c r="C25" s="240">
        <v>400</v>
      </c>
      <c r="D25" s="235" t="s">
        <v>642</v>
      </c>
      <c r="E25" s="232">
        <v>0</v>
      </c>
    </row>
    <row r="26" spans="1:5" ht="24">
      <c r="A26" s="233">
        <v>14</v>
      </c>
      <c r="B26" s="238" t="s">
        <v>127</v>
      </c>
      <c r="C26" s="240">
        <v>400</v>
      </c>
      <c r="D26" s="235" t="s">
        <v>642</v>
      </c>
      <c r="E26" s="232">
        <v>0</v>
      </c>
    </row>
    <row r="27" spans="1:5" ht="24">
      <c r="A27" s="233">
        <v>15</v>
      </c>
      <c r="B27" s="238" t="s">
        <v>128</v>
      </c>
      <c r="C27" s="240">
        <v>1900</v>
      </c>
      <c r="D27" s="235" t="s">
        <v>642</v>
      </c>
      <c r="E27" s="232">
        <v>1900</v>
      </c>
    </row>
    <row r="28" spans="1:5" ht="24">
      <c r="A28" s="233">
        <v>16</v>
      </c>
      <c r="B28" s="238" t="s">
        <v>130</v>
      </c>
      <c r="C28" s="240">
        <v>400</v>
      </c>
      <c r="D28" s="231" t="s">
        <v>636</v>
      </c>
      <c r="E28" s="232">
        <v>0</v>
      </c>
    </row>
    <row r="29" spans="1:5" ht="24">
      <c r="A29" s="233">
        <v>17</v>
      </c>
      <c r="B29" s="226" t="s">
        <v>645</v>
      </c>
      <c r="C29" s="240">
        <f>SUM(C30:C98)</f>
        <v>83800</v>
      </c>
      <c r="D29" s="228"/>
      <c r="E29" s="229">
        <f>SUM(E30:E98)</f>
        <v>30650</v>
      </c>
    </row>
    <row r="30" spans="1:5" ht="24">
      <c r="A30" s="233">
        <v>18</v>
      </c>
      <c r="B30" s="241" t="s">
        <v>66</v>
      </c>
      <c r="C30" s="242">
        <v>3000</v>
      </c>
      <c r="D30" s="235" t="s">
        <v>642</v>
      </c>
      <c r="E30" s="232">
        <v>0</v>
      </c>
    </row>
    <row r="31" spans="1:5" ht="24">
      <c r="A31" s="233">
        <v>19</v>
      </c>
      <c r="B31" s="234" t="s">
        <v>74</v>
      </c>
      <c r="C31" s="242">
        <v>100</v>
      </c>
      <c r="D31" s="235" t="s">
        <v>642</v>
      </c>
      <c r="E31" s="232">
        <v>0</v>
      </c>
    </row>
    <row r="32" spans="1:5" ht="24">
      <c r="A32" s="233">
        <v>20</v>
      </c>
      <c r="B32" s="241" t="s">
        <v>67</v>
      </c>
      <c r="C32" s="242">
        <v>2000</v>
      </c>
      <c r="D32" s="231" t="s">
        <v>636</v>
      </c>
      <c r="E32" s="232">
        <v>1500</v>
      </c>
    </row>
    <row r="33" spans="1:5" ht="24">
      <c r="A33" s="233">
        <v>21</v>
      </c>
      <c r="B33" s="234" t="s">
        <v>53</v>
      </c>
      <c r="C33" s="243">
        <v>100</v>
      </c>
      <c r="D33" s="235" t="s">
        <v>642</v>
      </c>
      <c r="E33" s="232">
        <v>0</v>
      </c>
    </row>
    <row r="34" spans="1:5" ht="24">
      <c r="A34" s="233">
        <v>22</v>
      </c>
      <c r="B34" s="234" t="s">
        <v>65</v>
      </c>
      <c r="C34" s="243">
        <v>200</v>
      </c>
      <c r="D34" s="235" t="s">
        <v>642</v>
      </c>
      <c r="E34" s="232">
        <v>0</v>
      </c>
    </row>
    <row r="35" spans="1:5" ht="24">
      <c r="A35" s="233">
        <v>23</v>
      </c>
      <c r="B35" s="234" t="s">
        <v>73</v>
      </c>
      <c r="C35" s="243">
        <v>100</v>
      </c>
      <c r="D35" s="235" t="s">
        <v>642</v>
      </c>
      <c r="E35" s="232">
        <v>0</v>
      </c>
    </row>
    <row r="36" spans="1:5" ht="24">
      <c r="A36" s="233">
        <v>24</v>
      </c>
      <c r="B36" s="238" t="s">
        <v>97</v>
      </c>
      <c r="C36" s="243">
        <v>500</v>
      </c>
      <c r="D36" s="235" t="s">
        <v>642</v>
      </c>
      <c r="E36" s="232">
        <v>0</v>
      </c>
    </row>
    <row r="37" spans="1:5" ht="24">
      <c r="A37" s="233">
        <v>25</v>
      </c>
      <c r="B37" s="238" t="s">
        <v>78</v>
      </c>
      <c r="C37" s="242">
        <v>2000</v>
      </c>
      <c r="D37" s="231" t="s">
        <v>636</v>
      </c>
      <c r="E37" s="232">
        <f t="shared" si="0"/>
        <v>1000</v>
      </c>
    </row>
    <row r="38" spans="1:5" ht="24">
      <c r="A38" s="233">
        <v>26</v>
      </c>
      <c r="B38" s="234" t="s">
        <v>646</v>
      </c>
      <c r="C38" s="239">
        <v>7600</v>
      </c>
      <c r="D38" s="235" t="s">
        <v>642</v>
      </c>
      <c r="E38" s="232">
        <f t="shared" si="0"/>
        <v>3800</v>
      </c>
    </row>
    <row r="39" spans="1:5" ht="24">
      <c r="A39" s="233">
        <v>27</v>
      </c>
      <c r="B39" s="234" t="s">
        <v>72</v>
      </c>
      <c r="C39" s="239">
        <v>100</v>
      </c>
      <c r="D39" s="235" t="s">
        <v>642</v>
      </c>
      <c r="E39" s="232">
        <v>500</v>
      </c>
    </row>
    <row r="40" spans="1:5" ht="24">
      <c r="A40" s="233">
        <v>28</v>
      </c>
      <c r="B40" s="234" t="s">
        <v>87</v>
      </c>
      <c r="C40" s="239">
        <v>100</v>
      </c>
      <c r="D40" s="235" t="s">
        <v>642</v>
      </c>
      <c r="E40" s="232">
        <v>0</v>
      </c>
    </row>
    <row r="41" spans="1:5" ht="24">
      <c r="A41" s="233">
        <v>29</v>
      </c>
      <c r="B41" s="234" t="s">
        <v>89</v>
      </c>
      <c r="C41" s="239">
        <v>100</v>
      </c>
      <c r="D41" s="235" t="s">
        <v>642</v>
      </c>
      <c r="E41" s="232">
        <v>0</v>
      </c>
    </row>
    <row r="42" spans="1:5" ht="24">
      <c r="A42" s="233">
        <v>30</v>
      </c>
      <c r="B42" s="234" t="s">
        <v>90</v>
      </c>
      <c r="C42" s="239">
        <v>100</v>
      </c>
      <c r="D42" s="235" t="s">
        <v>642</v>
      </c>
      <c r="E42" s="232">
        <v>0</v>
      </c>
    </row>
    <row r="43" spans="1:5" ht="24">
      <c r="A43" s="233">
        <v>31</v>
      </c>
      <c r="B43" s="234" t="s">
        <v>91</v>
      </c>
      <c r="C43" s="239">
        <v>555</v>
      </c>
      <c r="D43" s="235" t="s">
        <v>642</v>
      </c>
      <c r="E43" s="232">
        <v>350</v>
      </c>
    </row>
    <row r="44" spans="1:5" ht="24">
      <c r="A44" s="233">
        <v>32</v>
      </c>
      <c r="B44" s="234" t="s">
        <v>92</v>
      </c>
      <c r="C44" s="239">
        <v>100</v>
      </c>
      <c r="D44" s="235" t="s">
        <v>642</v>
      </c>
      <c r="E44" s="232">
        <v>0</v>
      </c>
    </row>
    <row r="45" spans="1:5" ht="24">
      <c r="A45" s="233">
        <v>33</v>
      </c>
      <c r="B45" s="238" t="s">
        <v>93</v>
      </c>
      <c r="C45" s="239">
        <v>100</v>
      </c>
      <c r="D45" s="235" t="s">
        <v>642</v>
      </c>
      <c r="E45" s="232">
        <v>0</v>
      </c>
    </row>
    <row r="46" spans="1:5" ht="24">
      <c r="A46" s="233">
        <v>34</v>
      </c>
      <c r="B46" s="238" t="s">
        <v>647</v>
      </c>
      <c r="C46" s="239">
        <v>100</v>
      </c>
      <c r="D46" s="235" t="s">
        <v>642</v>
      </c>
      <c r="E46" s="232">
        <v>0</v>
      </c>
    </row>
    <row r="47" spans="1:5" ht="46.5">
      <c r="A47" s="233">
        <v>35</v>
      </c>
      <c r="B47" s="238" t="s">
        <v>98</v>
      </c>
      <c r="C47" s="239">
        <v>100</v>
      </c>
      <c r="D47" s="235" t="s">
        <v>642</v>
      </c>
      <c r="E47" s="232">
        <v>0</v>
      </c>
    </row>
    <row r="48" spans="1:5" ht="42" customHeight="1">
      <c r="A48" s="233">
        <v>36</v>
      </c>
      <c r="B48" s="238" t="s">
        <v>100</v>
      </c>
      <c r="C48" s="239">
        <v>100</v>
      </c>
      <c r="D48" s="235" t="s">
        <v>642</v>
      </c>
      <c r="E48" s="232">
        <v>0</v>
      </c>
    </row>
    <row r="49" spans="1:6" ht="43.15" customHeight="1">
      <c r="A49" s="233">
        <v>37</v>
      </c>
      <c r="B49" s="238" t="s">
        <v>648</v>
      </c>
      <c r="C49" s="239">
        <v>200</v>
      </c>
      <c r="D49" s="235" t="s">
        <v>642</v>
      </c>
      <c r="E49" s="232">
        <v>500</v>
      </c>
    </row>
    <row r="50" spans="1:6" ht="24">
      <c r="A50" s="233">
        <v>38</v>
      </c>
      <c r="B50" s="238" t="s">
        <v>104</v>
      </c>
      <c r="C50" s="239">
        <v>100</v>
      </c>
      <c r="D50" s="235" t="s">
        <v>642</v>
      </c>
      <c r="E50" s="232">
        <v>0</v>
      </c>
    </row>
    <row r="51" spans="1:6" ht="24">
      <c r="A51" s="233">
        <v>39</v>
      </c>
      <c r="B51" s="238" t="s">
        <v>649</v>
      </c>
      <c r="C51" s="239">
        <v>500</v>
      </c>
      <c r="D51" s="235" t="s">
        <v>642</v>
      </c>
      <c r="E51" s="232">
        <f t="shared" si="0"/>
        <v>250</v>
      </c>
    </row>
    <row r="52" spans="1:6" s="245" customFormat="1" ht="39" customHeight="1">
      <c r="A52" s="233">
        <v>40</v>
      </c>
      <c r="B52" s="238" t="s">
        <v>650</v>
      </c>
      <c r="C52" s="239">
        <v>500</v>
      </c>
      <c r="D52" s="235" t="s">
        <v>642</v>
      </c>
      <c r="E52" s="232">
        <f t="shared" si="0"/>
        <v>250</v>
      </c>
      <c r="F52" s="244"/>
    </row>
    <row r="53" spans="1:6" ht="24">
      <c r="A53" s="233">
        <v>41</v>
      </c>
      <c r="B53" s="234" t="s">
        <v>651</v>
      </c>
      <c r="C53" s="239">
        <v>100</v>
      </c>
      <c r="D53" s="231" t="s">
        <v>636</v>
      </c>
      <c r="E53" s="232">
        <v>0</v>
      </c>
    </row>
    <row r="54" spans="1:6" ht="24">
      <c r="A54" s="233">
        <v>42</v>
      </c>
      <c r="B54" s="234" t="s">
        <v>652</v>
      </c>
      <c r="C54" s="239">
        <v>100</v>
      </c>
      <c r="D54" s="231" t="s">
        <v>636</v>
      </c>
      <c r="E54" s="232">
        <v>0</v>
      </c>
    </row>
    <row r="55" spans="1:6" ht="24">
      <c r="A55" s="233">
        <v>43</v>
      </c>
      <c r="B55" s="234" t="s">
        <v>653</v>
      </c>
      <c r="C55" s="239">
        <v>7500</v>
      </c>
      <c r="D55" s="231" t="s">
        <v>636</v>
      </c>
      <c r="E55" s="232">
        <v>0</v>
      </c>
    </row>
    <row r="56" spans="1:6" ht="24">
      <c r="A56" s="233">
        <v>44</v>
      </c>
      <c r="B56" s="234" t="s">
        <v>81</v>
      </c>
      <c r="C56" s="239">
        <v>50</v>
      </c>
      <c r="D56" s="231" t="s">
        <v>636</v>
      </c>
      <c r="E56" s="232">
        <v>0</v>
      </c>
    </row>
    <row r="57" spans="1:6" ht="24">
      <c r="A57" s="233">
        <v>45</v>
      </c>
      <c r="B57" s="238" t="s">
        <v>129</v>
      </c>
      <c r="C57" s="239">
        <v>600</v>
      </c>
      <c r="D57" s="231" t="s">
        <v>636</v>
      </c>
      <c r="E57" s="232">
        <f t="shared" si="0"/>
        <v>300</v>
      </c>
    </row>
    <row r="58" spans="1:6" ht="24">
      <c r="A58" s="233">
        <v>46</v>
      </c>
      <c r="B58" s="234" t="s">
        <v>654</v>
      </c>
      <c r="C58" s="239">
        <v>500</v>
      </c>
      <c r="D58" s="231" t="s">
        <v>636</v>
      </c>
      <c r="E58" s="232">
        <f t="shared" si="0"/>
        <v>250</v>
      </c>
    </row>
    <row r="59" spans="1:6" ht="24">
      <c r="A59" s="233">
        <v>47</v>
      </c>
      <c r="B59" s="234" t="s">
        <v>46</v>
      </c>
      <c r="C59" s="240">
        <v>2700</v>
      </c>
      <c r="D59" s="235" t="s">
        <v>642</v>
      </c>
      <c r="E59" s="232">
        <v>2000</v>
      </c>
    </row>
    <row r="60" spans="1:6" ht="24">
      <c r="A60" s="233">
        <v>48</v>
      </c>
      <c r="B60" s="234" t="s">
        <v>56</v>
      </c>
      <c r="C60" s="240">
        <v>1200</v>
      </c>
      <c r="D60" s="235" t="s">
        <v>642</v>
      </c>
      <c r="E60" s="232">
        <f t="shared" si="0"/>
        <v>600</v>
      </c>
    </row>
    <row r="61" spans="1:6" ht="24">
      <c r="A61" s="233">
        <v>49</v>
      </c>
      <c r="B61" s="234" t="s">
        <v>58</v>
      </c>
      <c r="C61" s="240">
        <v>500</v>
      </c>
      <c r="D61" s="235" t="s">
        <v>642</v>
      </c>
      <c r="E61" s="232">
        <f t="shared" si="0"/>
        <v>250</v>
      </c>
    </row>
    <row r="62" spans="1:6" ht="24">
      <c r="A62" s="233">
        <v>50</v>
      </c>
      <c r="B62" s="234" t="s">
        <v>59</v>
      </c>
      <c r="C62" s="240">
        <v>450</v>
      </c>
      <c r="D62" s="235" t="s">
        <v>642</v>
      </c>
      <c r="E62" s="232">
        <v>0</v>
      </c>
    </row>
    <row r="63" spans="1:6" s="245" customFormat="1" ht="46.5">
      <c r="A63" s="233">
        <v>51</v>
      </c>
      <c r="B63" s="230" t="s">
        <v>60</v>
      </c>
      <c r="C63" s="225">
        <v>450</v>
      </c>
      <c r="D63" s="235" t="s">
        <v>642</v>
      </c>
      <c r="E63" s="232">
        <v>500</v>
      </c>
      <c r="F63" s="244"/>
    </row>
    <row r="64" spans="1:6" ht="24">
      <c r="A64" s="233">
        <v>52</v>
      </c>
      <c r="B64" s="234" t="s">
        <v>61</v>
      </c>
      <c r="C64" s="225">
        <v>500</v>
      </c>
      <c r="D64" s="235" t="s">
        <v>642</v>
      </c>
      <c r="E64" s="232">
        <v>0</v>
      </c>
    </row>
    <row r="65" spans="1:5" ht="24">
      <c r="A65" s="233">
        <v>53</v>
      </c>
      <c r="B65" s="234" t="s">
        <v>62</v>
      </c>
      <c r="C65" s="240">
        <v>450</v>
      </c>
      <c r="D65" s="235" t="s">
        <v>642</v>
      </c>
      <c r="E65" s="232">
        <v>0</v>
      </c>
    </row>
    <row r="66" spans="1:5" ht="24">
      <c r="A66" s="233">
        <v>54</v>
      </c>
      <c r="B66" s="234" t="s">
        <v>64</v>
      </c>
      <c r="C66" s="240">
        <v>1500</v>
      </c>
      <c r="D66" s="235" t="s">
        <v>642</v>
      </c>
      <c r="E66" s="232">
        <f t="shared" si="0"/>
        <v>750</v>
      </c>
    </row>
    <row r="67" spans="1:5" ht="24">
      <c r="A67" s="233">
        <v>55</v>
      </c>
      <c r="B67" s="246" t="s">
        <v>655</v>
      </c>
      <c r="C67" s="240">
        <v>500</v>
      </c>
      <c r="D67" s="235" t="s">
        <v>642</v>
      </c>
      <c r="E67" s="232">
        <f t="shared" si="0"/>
        <v>250</v>
      </c>
    </row>
    <row r="68" spans="1:5" ht="24">
      <c r="A68" s="233">
        <v>56</v>
      </c>
      <c r="B68" s="246" t="s">
        <v>69</v>
      </c>
      <c r="C68" s="240">
        <v>1500</v>
      </c>
      <c r="D68" s="235" t="s">
        <v>642</v>
      </c>
      <c r="E68" s="232">
        <v>500</v>
      </c>
    </row>
    <row r="69" spans="1:5" ht="24">
      <c r="A69" s="233">
        <v>57</v>
      </c>
      <c r="B69" s="234" t="s">
        <v>656</v>
      </c>
      <c r="C69" s="240">
        <v>10000</v>
      </c>
      <c r="D69" s="235" t="s">
        <v>642</v>
      </c>
      <c r="E69" s="232">
        <v>2000</v>
      </c>
    </row>
    <row r="70" spans="1:5" ht="24">
      <c r="A70" s="233">
        <v>58</v>
      </c>
      <c r="B70" s="234" t="s">
        <v>71</v>
      </c>
      <c r="C70" s="240">
        <v>100</v>
      </c>
      <c r="D70" s="235" t="s">
        <v>642</v>
      </c>
      <c r="E70" s="232">
        <v>0</v>
      </c>
    </row>
    <row r="71" spans="1:5" ht="24">
      <c r="A71" s="233">
        <v>59</v>
      </c>
      <c r="B71" s="234" t="s">
        <v>75</v>
      </c>
      <c r="C71" s="240">
        <v>100</v>
      </c>
      <c r="D71" s="235" t="s">
        <v>642</v>
      </c>
      <c r="E71" s="232">
        <v>0</v>
      </c>
    </row>
    <row r="72" spans="1:5" ht="24">
      <c r="A72" s="233">
        <v>60</v>
      </c>
      <c r="B72" s="234" t="s">
        <v>657</v>
      </c>
      <c r="C72" s="240">
        <v>3100</v>
      </c>
      <c r="D72" s="235" t="s">
        <v>642</v>
      </c>
      <c r="E72" s="232">
        <v>1500</v>
      </c>
    </row>
    <row r="73" spans="1:5" ht="24">
      <c r="A73" s="233">
        <v>61</v>
      </c>
      <c r="B73" s="234" t="s">
        <v>79</v>
      </c>
      <c r="C73" s="240">
        <v>100</v>
      </c>
      <c r="D73" s="235" t="s">
        <v>642</v>
      </c>
      <c r="E73" s="232">
        <v>0</v>
      </c>
    </row>
    <row r="74" spans="1:5" ht="24">
      <c r="A74" s="233">
        <v>62</v>
      </c>
      <c r="B74" s="234" t="s">
        <v>80</v>
      </c>
      <c r="C74" s="240">
        <v>50</v>
      </c>
      <c r="D74" s="235" t="s">
        <v>642</v>
      </c>
      <c r="E74" s="232">
        <v>0</v>
      </c>
    </row>
    <row r="75" spans="1:5" ht="24">
      <c r="A75" s="233">
        <v>63</v>
      </c>
      <c r="B75" s="234" t="s">
        <v>83</v>
      </c>
      <c r="C75" s="240">
        <v>50</v>
      </c>
      <c r="D75" s="235" t="s">
        <v>642</v>
      </c>
      <c r="E75" s="232">
        <v>0</v>
      </c>
    </row>
    <row r="76" spans="1:5" ht="24">
      <c r="A76" s="233">
        <v>64</v>
      </c>
      <c r="B76" s="234" t="s">
        <v>84</v>
      </c>
      <c r="C76" s="240">
        <v>50</v>
      </c>
      <c r="D76" s="235" t="s">
        <v>642</v>
      </c>
      <c r="E76" s="232">
        <v>0</v>
      </c>
    </row>
    <row r="77" spans="1:5" ht="24">
      <c r="A77" s="233">
        <v>65</v>
      </c>
      <c r="B77" s="234" t="s">
        <v>85</v>
      </c>
      <c r="C77" s="240">
        <v>385</v>
      </c>
      <c r="D77" s="235" t="s">
        <v>642</v>
      </c>
      <c r="E77" s="232">
        <v>0</v>
      </c>
    </row>
    <row r="78" spans="1:5" ht="24">
      <c r="A78" s="233">
        <v>66</v>
      </c>
      <c r="B78" s="238" t="s">
        <v>658</v>
      </c>
      <c r="C78" s="240">
        <v>350</v>
      </c>
      <c r="D78" s="235" t="s">
        <v>642</v>
      </c>
      <c r="E78" s="232">
        <v>0</v>
      </c>
    </row>
    <row r="79" spans="1:5" ht="24">
      <c r="A79" s="233">
        <v>67</v>
      </c>
      <c r="B79" s="238" t="s">
        <v>99</v>
      </c>
      <c r="C79" s="240">
        <v>350</v>
      </c>
      <c r="D79" s="235" t="s">
        <v>642</v>
      </c>
      <c r="E79" s="232">
        <v>500</v>
      </c>
    </row>
    <row r="80" spans="1:5" ht="46.5">
      <c r="A80" s="233">
        <v>68</v>
      </c>
      <c r="B80" s="238" t="s">
        <v>102</v>
      </c>
      <c r="C80" s="240">
        <v>350</v>
      </c>
      <c r="D80" s="235" t="s">
        <v>642</v>
      </c>
      <c r="E80" s="232">
        <v>0</v>
      </c>
    </row>
    <row r="81" spans="1:6" ht="24">
      <c r="A81" s="233">
        <v>69</v>
      </c>
      <c r="B81" s="247" t="s">
        <v>52</v>
      </c>
      <c r="C81" s="233">
        <v>1200</v>
      </c>
      <c r="D81" s="231" t="s">
        <v>636</v>
      </c>
      <c r="E81" s="232">
        <v>0</v>
      </c>
      <c r="F81" s="222"/>
    </row>
    <row r="82" spans="1:6" ht="24">
      <c r="A82" s="233">
        <v>70</v>
      </c>
      <c r="B82" s="234" t="s">
        <v>82</v>
      </c>
      <c r="C82" s="239">
        <v>50</v>
      </c>
      <c r="D82" s="231" t="s">
        <v>636</v>
      </c>
      <c r="E82" s="232">
        <v>0</v>
      </c>
      <c r="F82" s="222"/>
    </row>
    <row r="83" spans="1:6" ht="24">
      <c r="A83" s="233">
        <v>71</v>
      </c>
      <c r="B83" s="234" t="s">
        <v>54</v>
      </c>
      <c r="C83" s="240">
        <v>100</v>
      </c>
      <c r="D83" s="231" t="s">
        <v>636</v>
      </c>
      <c r="E83" s="232">
        <v>200</v>
      </c>
    </row>
    <row r="84" spans="1:6" ht="24">
      <c r="A84" s="233">
        <v>72</v>
      </c>
      <c r="B84" s="234" t="s">
        <v>55</v>
      </c>
      <c r="C84" s="240">
        <v>5000</v>
      </c>
      <c r="D84" s="231" t="s">
        <v>636</v>
      </c>
      <c r="E84" s="232">
        <f t="shared" ref="E84:E97" si="1">C84/2</f>
        <v>2500</v>
      </c>
    </row>
    <row r="85" spans="1:6" ht="24">
      <c r="A85" s="233">
        <v>73</v>
      </c>
      <c r="B85" s="238" t="s">
        <v>659</v>
      </c>
      <c r="C85" s="240">
        <v>1000</v>
      </c>
      <c r="D85" s="231" t="s">
        <v>636</v>
      </c>
      <c r="E85" s="232">
        <v>800</v>
      </c>
    </row>
    <row r="86" spans="1:6" ht="24">
      <c r="A86" s="233">
        <v>74</v>
      </c>
      <c r="B86" s="234" t="s">
        <v>88</v>
      </c>
      <c r="C86" s="240">
        <v>10</v>
      </c>
      <c r="D86" s="231" t="s">
        <v>636</v>
      </c>
      <c r="E86" s="232">
        <v>0</v>
      </c>
    </row>
    <row r="87" spans="1:6" ht="24">
      <c r="A87" s="233">
        <v>75</v>
      </c>
      <c r="B87" s="238" t="s">
        <v>660</v>
      </c>
      <c r="C87" s="240">
        <v>500</v>
      </c>
      <c r="D87" s="231" t="s">
        <v>636</v>
      </c>
      <c r="E87" s="232">
        <v>500</v>
      </c>
    </row>
    <row r="88" spans="1:6" ht="24">
      <c r="A88" s="233">
        <v>76</v>
      </c>
      <c r="B88" s="238" t="s">
        <v>661</v>
      </c>
      <c r="C88" s="240">
        <v>100</v>
      </c>
      <c r="D88" s="231" t="s">
        <v>636</v>
      </c>
      <c r="E88" s="232">
        <v>0</v>
      </c>
    </row>
    <row r="89" spans="1:6" ht="24">
      <c r="A89" s="233">
        <v>77</v>
      </c>
      <c r="B89" s="238" t="s">
        <v>106</v>
      </c>
      <c r="C89" s="240">
        <v>250</v>
      </c>
      <c r="D89" s="231" t="s">
        <v>636</v>
      </c>
      <c r="E89" s="232">
        <v>0</v>
      </c>
    </row>
    <row r="90" spans="1:6" ht="24">
      <c r="A90" s="233">
        <v>78</v>
      </c>
      <c r="B90" s="238" t="s">
        <v>108</v>
      </c>
      <c r="C90" s="240">
        <v>500</v>
      </c>
      <c r="D90" s="231" t="s">
        <v>636</v>
      </c>
      <c r="E90" s="232">
        <v>350</v>
      </c>
    </row>
    <row r="91" spans="1:6" ht="24">
      <c r="A91" s="233">
        <v>79</v>
      </c>
      <c r="B91" s="248" t="s">
        <v>662</v>
      </c>
      <c r="C91" s="240">
        <v>2400</v>
      </c>
      <c r="D91" s="231" t="s">
        <v>636</v>
      </c>
      <c r="E91" s="232">
        <v>2000</v>
      </c>
    </row>
    <row r="92" spans="1:6" ht="24">
      <c r="A92" s="233">
        <v>80</v>
      </c>
      <c r="B92" s="238" t="s">
        <v>110</v>
      </c>
      <c r="C92" s="240">
        <v>50</v>
      </c>
      <c r="D92" s="231" t="s">
        <v>636</v>
      </c>
      <c r="E92" s="232">
        <v>0</v>
      </c>
    </row>
    <row r="93" spans="1:6" ht="25.9" customHeight="1">
      <c r="A93" s="233">
        <v>81</v>
      </c>
      <c r="B93" s="246" t="s">
        <v>663</v>
      </c>
      <c r="C93" s="225">
        <v>500</v>
      </c>
      <c r="D93" s="231" t="s">
        <v>636</v>
      </c>
      <c r="E93" s="232">
        <v>400</v>
      </c>
    </row>
    <row r="94" spans="1:6" ht="22.15" customHeight="1">
      <c r="A94" s="233">
        <v>82</v>
      </c>
      <c r="B94" s="230" t="s">
        <v>664</v>
      </c>
      <c r="C94" s="225">
        <v>7500</v>
      </c>
      <c r="D94" s="235" t="s">
        <v>642</v>
      </c>
      <c r="E94" s="232">
        <f t="shared" si="1"/>
        <v>3750</v>
      </c>
    </row>
    <row r="95" spans="1:6" ht="24">
      <c r="A95" s="233">
        <v>83</v>
      </c>
      <c r="B95" s="230" t="s">
        <v>665</v>
      </c>
      <c r="C95" s="225">
        <v>7000</v>
      </c>
      <c r="D95" s="235" t="s">
        <v>642</v>
      </c>
      <c r="E95" s="232">
        <v>2000</v>
      </c>
    </row>
    <row r="96" spans="1:6" ht="24">
      <c r="A96" s="233">
        <v>84</v>
      </c>
      <c r="B96" s="230" t="s">
        <v>666</v>
      </c>
      <c r="C96" s="225">
        <v>200</v>
      </c>
      <c r="D96" s="235" t="s">
        <v>642</v>
      </c>
      <c r="E96" s="232">
        <f t="shared" si="1"/>
        <v>100</v>
      </c>
    </row>
    <row r="97" spans="1:5" ht="24">
      <c r="A97" s="233">
        <v>85</v>
      </c>
      <c r="B97" s="230" t="s">
        <v>667</v>
      </c>
      <c r="C97" s="225">
        <v>1000</v>
      </c>
      <c r="D97" s="235" t="s">
        <v>642</v>
      </c>
      <c r="E97" s="232">
        <f t="shared" si="1"/>
        <v>500</v>
      </c>
    </row>
    <row r="98" spans="1:5" ht="24">
      <c r="A98" s="233">
        <v>86</v>
      </c>
      <c r="B98" s="230" t="s">
        <v>668</v>
      </c>
      <c r="C98" s="225">
        <v>4500</v>
      </c>
      <c r="D98" s="235" t="s">
        <v>642</v>
      </c>
      <c r="E98" s="232">
        <v>0</v>
      </c>
    </row>
    <row r="99" spans="1:5" ht="23.25">
      <c r="A99" s="249">
        <v>1</v>
      </c>
      <c r="B99" s="250" t="s">
        <v>669</v>
      </c>
      <c r="C99" s="240">
        <f>SUM(C100:C100)</f>
        <v>15000</v>
      </c>
      <c r="D99" s="251"/>
      <c r="E99" s="229">
        <f>SUM(E100:E100)</f>
        <v>15000</v>
      </c>
    </row>
    <row r="100" spans="1:5" ht="46.5">
      <c r="A100" s="225" t="s">
        <v>670</v>
      </c>
      <c r="B100" s="230" t="s">
        <v>671</v>
      </c>
      <c r="C100" s="225">
        <v>15000</v>
      </c>
      <c r="D100" s="231" t="s">
        <v>636</v>
      </c>
      <c r="E100" s="232">
        <v>15000</v>
      </c>
    </row>
    <row r="101" spans="1:5" ht="23.25">
      <c r="A101" s="252"/>
      <c r="B101" s="253" t="s">
        <v>672</v>
      </c>
      <c r="C101" s="224">
        <f>C3+C12+C29+C100</f>
        <v>156000</v>
      </c>
      <c r="D101" s="240"/>
      <c r="E101" s="229">
        <f>E99+E29+E12+E3</f>
        <v>78800</v>
      </c>
    </row>
  </sheetData>
  <mergeCells count="1">
    <mergeCell ref="A1:E1"/>
  </mergeCells>
  <pageMargins left="0.48" right="0.2" top="0.44" bottom="0.4" header="0.3" footer="0.3"/>
  <pageSetup paperSize="9" scale="79" fitToHeight="3"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BD227"/>
  <sheetViews>
    <sheetView tabSelected="1" view="pageBreakPreview" zoomScale="80" zoomScaleNormal="70" zoomScaleSheetLayoutView="80" workbookViewId="0">
      <selection activeCell="A3" sqref="A3:AT3"/>
    </sheetView>
  </sheetViews>
  <sheetFormatPr defaultRowHeight="12.75"/>
  <cols>
    <col min="1" max="1" width="17.28515625" style="350" customWidth="1"/>
    <col min="2" max="2" width="53.5703125" style="350" customWidth="1"/>
    <col min="3" max="3" width="10.140625" style="703" customWidth="1"/>
    <col min="4" max="9" width="9.7109375" style="350" hidden="1" customWidth="1"/>
    <col min="10" max="10" width="8.42578125" style="350" customWidth="1"/>
    <col min="11" max="11" width="8.5703125" style="350" customWidth="1"/>
    <col min="12" max="12" width="10.5703125" style="704" customWidth="1"/>
    <col min="13" max="13" width="11" style="704" customWidth="1"/>
    <col min="14" max="14" width="8.5703125" style="704" customWidth="1"/>
    <col min="15" max="15" width="8.85546875" style="704" customWidth="1"/>
    <col min="16" max="16" width="10.28515625" style="704" customWidth="1"/>
    <col min="17" max="17" width="9.140625" style="704" customWidth="1"/>
    <col min="18" max="18" width="9.28515625" style="704" customWidth="1"/>
    <col min="19" max="19" width="10.28515625" style="704" customWidth="1"/>
    <col min="20" max="20" width="8.85546875" style="704" customWidth="1"/>
    <col min="21" max="21" width="9.140625" style="704" customWidth="1"/>
    <col min="22" max="23" width="8.42578125" style="350" customWidth="1"/>
    <col min="24" max="24" width="10.5703125" style="350" customWidth="1"/>
    <col min="25" max="25" width="9.140625" style="350" customWidth="1"/>
    <col min="26" max="26" width="9.85546875" style="350" bestFit="1" customWidth="1"/>
    <col min="27" max="27" width="9.140625" style="350" bestFit="1" customWidth="1"/>
    <col min="28" max="28" width="10.7109375" style="350" customWidth="1"/>
    <col min="29" max="29" width="8.85546875" style="350" customWidth="1"/>
    <col min="30" max="45" width="9.7109375" style="350" hidden="1" customWidth="1"/>
    <col min="46" max="46" width="14.28515625" style="350" customWidth="1"/>
    <col min="47" max="47" width="13.140625" style="350" bestFit="1" customWidth="1"/>
    <col min="48" max="16384" width="9.140625" style="350"/>
  </cols>
  <sheetData>
    <row r="1" spans="1:46" s="263" customFormat="1" ht="32.450000000000003" customHeight="1">
      <c r="A1" s="691" t="s">
        <v>799</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row>
    <row r="2" spans="1:46" s="263" customFormat="1" ht="32.450000000000003" customHeight="1">
      <c r="A2" s="691" t="s">
        <v>798</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row>
    <row r="3" spans="1:46" s="263" customFormat="1" ht="32.450000000000003" customHeight="1">
      <c r="A3" s="706" t="s">
        <v>859</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row>
    <row r="4" spans="1:46" s="263" customFormat="1" ht="27.6" customHeight="1">
      <c r="A4" s="613" t="s">
        <v>1302</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row>
    <row r="5" spans="1:46" s="263" customFormat="1" ht="28.5">
      <c r="A5" s="265"/>
      <c r="B5" s="265"/>
      <c r="C5" s="265"/>
      <c r="D5" s="265"/>
      <c r="E5" s="265"/>
      <c r="F5" s="265"/>
      <c r="G5" s="265"/>
      <c r="H5" s="265"/>
      <c r="I5" s="265"/>
      <c r="J5" s="265"/>
      <c r="K5" s="265"/>
      <c r="L5" s="318"/>
      <c r="M5" s="318"/>
      <c r="N5" s="318"/>
      <c r="O5" s="318"/>
      <c r="P5" s="318"/>
      <c r="Q5" s="318"/>
      <c r="R5" s="318"/>
      <c r="S5" s="318"/>
      <c r="T5" s="318"/>
      <c r="U5" s="318"/>
      <c r="V5" s="265"/>
      <c r="Y5" s="265"/>
      <c r="Z5" s="265"/>
      <c r="AA5" s="264"/>
      <c r="AB5" s="264"/>
      <c r="AC5" s="264"/>
      <c r="AD5" s="264"/>
      <c r="AE5" s="264"/>
      <c r="AF5" s="264"/>
      <c r="AG5" s="264"/>
      <c r="AH5" s="264"/>
      <c r="AI5" s="264"/>
      <c r="AJ5" s="264"/>
      <c r="AK5" s="264"/>
      <c r="AL5" s="264"/>
      <c r="AM5" s="264"/>
      <c r="AN5" s="264"/>
      <c r="AO5" s="264"/>
      <c r="AP5" s="265"/>
      <c r="AQ5" s="265"/>
      <c r="AR5" s="265"/>
      <c r="AS5" s="265"/>
      <c r="AT5" s="265"/>
    </row>
    <row r="6" spans="1:46" s="263" customFormat="1" ht="24" hidden="1">
      <c r="A6" s="267" t="s">
        <v>771</v>
      </c>
      <c r="B6" s="267"/>
      <c r="C6" s="651"/>
      <c r="D6" s="267"/>
      <c r="E6" s="267"/>
      <c r="F6" s="267"/>
      <c r="G6" s="267"/>
      <c r="H6" s="267"/>
      <c r="I6" s="267"/>
      <c r="J6" s="267"/>
      <c r="K6" s="267"/>
      <c r="L6" s="319"/>
      <c r="M6" s="319"/>
      <c r="N6" s="319"/>
      <c r="O6" s="319"/>
      <c r="P6" s="319"/>
      <c r="Q6" s="319"/>
      <c r="R6" s="319"/>
      <c r="S6" s="319"/>
      <c r="T6" s="319"/>
      <c r="U6" s="319"/>
      <c r="AD6" s="267" t="s">
        <v>785</v>
      </c>
      <c r="AF6" s="267"/>
      <c r="AG6" s="268">
        <f>'एकिकृत बिवरण'!$J$13/100000-331.31</f>
        <v>600.97694000000001</v>
      </c>
      <c r="AH6" s="269"/>
      <c r="AI6" s="269">
        <v>331.31</v>
      </c>
      <c r="AJ6" s="269"/>
      <c r="AK6" s="269"/>
      <c r="AL6" s="269"/>
      <c r="AM6" s="269"/>
      <c r="AN6" s="269"/>
      <c r="AO6" s="269"/>
      <c r="AP6" s="692">
        <f>AG6+AI6</f>
        <v>932.28693999999996</v>
      </c>
      <c r="AQ6" s="692"/>
      <c r="AR6" s="267"/>
      <c r="AS6" s="267"/>
    </row>
    <row r="7" spans="1:46" s="263" customFormat="1" ht="24" hidden="1">
      <c r="A7" s="652" t="s">
        <v>772</v>
      </c>
      <c r="B7" s="267"/>
      <c r="C7" s="651"/>
      <c r="D7" s="267"/>
      <c r="E7" s="267"/>
      <c r="F7" s="267"/>
      <c r="G7" s="267"/>
      <c r="H7" s="267"/>
      <c r="I7" s="267"/>
      <c r="J7" s="267"/>
      <c r="K7" s="267"/>
      <c r="L7" s="319"/>
      <c r="M7" s="319"/>
      <c r="N7" s="319"/>
      <c r="O7" s="319"/>
      <c r="P7" s="319"/>
      <c r="Q7" s="319"/>
      <c r="R7" s="319"/>
      <c r="S7" s="319"/>
      <c r="T7" s="319"/>
      <c r="U7" s="319"/>
      <c r="Y7" s="267"/>
      <c r="Z7" s="267"/>
      <c r="AA7" s="267"/>
      <c r="AB7" s="267"/>
      <c r="AC7" s="267"/>
      <c r="AD7" s="653" t="s">
        <v>779</v>
      </c>
      <c r="AE7" s="267"/>
      <c r="AF7" s="267"/>
      <c r="AG7" s="267"/>
      <c r="AH7" s="267"/>
      <c r="AI7" s="267"/>
      <c r="AJ7" s="267"/>
      <c r="AK7" s="267"/>
      <c r="AL7" s="267"/>
      <c r="AM7" s="267"/>
      <c r="AN7" s="267"/>
      <c r="AO7" s="267"/>
      <c r="AP7" s="267"/>
      <c r="AQ7" s="267"/>
      <c r="AR7" s="267"/>
      <c r="AS7" s="267"/>
    </row>
    <row r="8" spans="1:46" s="263" customFormat="1" ht="24" hidden="1">
      <c r="A8" s="267" t="s">
        <v>773</v>
      </c>
      <c r="B8" s="267"/>
      <c r="C8" s="651"/>
      <c r="D8" s="267"/>
      <c r="E8" s="267"/>
      <c r="F8" s="267"/>
      <c r="G8" s="267"/>
      <c r="H8" s="267"/>
      <c r="I8" s="267"/>
      <c r="J8" s="267"/>
      <c r="K8" s="267"/>
      <c r="L8" s="319"/>
      <c r="M8" s="319"/>
      <c r="N8" s="319"/>
      <c r="O8" s="319"/>
      <c r="P8" s="319"/>
      <c r="Q8" s="319"/>
      <c r="R8" s="319"/>
      <c r="S8" s="319"/>
      <c r="T8" s="319"/>
      <c r="U8" s="319"/>
      <c r="AD8" s="267" t="s">
        <v>786</v>
      </c>
      <c r="AG8" s="267"/>
      <c r="AH8" s="267"/>
      <c r="AI8" s="267"/>
      <c r="AJ8" s="267"/>
      <c r="AK8" s="267"/>
      <c r="AL8" s="267"/>
      <c r="AM8" s="267"/>
      <c r="AN8" s="267"/>
      <c r="AO8" s="267"/>
      <c r="AP8" s="267"/>
      <c r="AQ8" s="267"/>
      <c r="AR8" s="267"/>
      <c r="AS8" s="267"/>
    </row>
    <row r="9" spans="1:46" s="263" customFormat="1" ht="24" hidden="1">
      <c r="A9" s="267" t="s">
        <v>774</v>
      </c>
      <c r="B9" s="267"/>
      <c r="C9" s="651"/>
      <c r="D9" s="267"/>
      <c r="E9" s="267"/>
      <c r="F9" s="267"/>
      <c r="G9" s="267"/>
      <c r="H9" s="267"/>
      <c r="I9" s="267"/>
      <c r="J9" s="267"/>
      <c r="K9" s="267"/>
      <c r="L9" s="319"/>
      <c r="M9" s="319"/>
      <c r="N9" s="319"/>
      <c r="O9" s="319"/>
      <c r="P9" s="319"/>
      <c r="Q9" s="319"/>
      <c r="R9" s="319"/>
      <c r="S9" s="319"/>
      <c r="T9" s="319"/>
      <c r="U9" s="319"/>
      <c r="W9" s="267"/>
      <c r="Y9" s="267"/>
      <c r="Z9" s="267"/>
      <c r="AA9" s="267"/>
      <c r="AB9" s="267"/>
      <c r="AC9" s="267"/>
      <c r="AD9" s="267"/>
      <c r="AE9" s="267"/>
      <c r="AF9" s="267"/>
      <c r="AG9" s="267"/>
      <c r="AH9" s="267"/>
      <c r="AI9" s="267"/>
      <c r="AJ9" s="267"/>
      <c r="AK9" s="267"/>
      <c r="AL9" s="267"/>
      <c r="AM9" s="267"/>
      <c r="AN9" s="267"/>
      <c r="AO9" s="267"/>
      <c r="AP9" s="267"/>
      <c r="AQ9" s="267"/>
      <c r="AR9" s="267"/>
      <c r="AS9" s="267"/>
    </row>
    <row r="10" spans="1:46" s="263" customFormat="1" ht="24" hidden="1">
      <c r="A10" s="267" t="s">
        <v>775</v>
      </c>
      <c r="B10" s="267"/>
      <c r="C10" s="651"/>
      <c r="D10" s="267"/>
      <c r="E10" s="267"/>
      <c r="F10" s="267"/>
      <c r="G10" s="267"/>
      <c r="H10" s="267"/>
      <c r="I10" s="267"/>
      <c r="J10" s="267"/>
      <c r="K10" s="267"/>
      <c r="L10" s="319"/>
      <c r="M10" s="319"/>
      <c r="N10" s="319"/>
      <c r="O10" s="319"/>
      <c r="P10" s="319"/>
      <c r="Q10" s="319"/>
      <c r="R10" s="319"/>
      <c r="S10" s="319"/>
      <c r="T10" s="319"/>
      <c r="U10" s="319"/>
      <c r="AA10" s="267"/>
      <c r="AB10" s="267"/>
      <c r="AC10" s="267"/>
      <c r="AE10" s="267" t="s">
        <v>793</v>
      </c>
      <c r="AG10" s="267"/>
      <c r="AH10" s="267"/>
      <c r="AI10" s="267"/>
      <c r="AJ10" s="267"/>
      <c r="AK10" s="267"/>
      <c r="AL10" s="267"/>
      <c r="AM10" s="267"/>
      <c r="AN10" s="267"/>
      <c r="AO10" s="267"/>
      <c r="AP10" s="267"/>
      <c r="AQ10" s="267"/>
      <c r="AR10" s="267"/>
      <c r="AS10" s="267"/>
    </row>
    <row r="11" spans="1:46" s="263" customFormat="1" ht="24" hidden="1">
      <c r="A11" s="267" t="s">
        <v>776</v>
      </c>
      <c r="B11" s="267"/>
      <c r="C11" s="651"/>
      <c r="D11" s="267"/>
      <c r="E11" s="267"/>
      <c r="F11" s="267"/>
      <c r="G11" s="267"/>
      <c r="H11" s="267"/>
      <c r="I11" s="267"/>
      <c r="J11" s="267"/>
      <c r="K11" s="267"/>
      <c r="L11" s="319"/>
      <c r="M11" s="319"/>
      <c r="N11" s="319"/>
      <c r="O11" s="319"/>
      <c r="P11" s="319"/>
      <c r="Q11" s="319"/>
      <c r="R11" s="319"/>
      <c r="S11" s="319"/>
      <c r="T11" s="319"/>
      <c r="U11" s="319"/>
      <c r="W11" s="267"/>
      <c r="Y11" s="267"/>
      <c r="Z11" s="267"/>
      <c r="AA11" s="267"/>
      <c r="AB11" s="267"/>
      <c r="AC11" s="267"/>
      <c r="AD11" s="267"/>
      <c r="AE11" s="267"/>
      <c r="AF11" s="267"/>
      <c r="AG11" s="267"/>
      <c r="AH11" s="267"/>
      <c r="AI11" s="267"/>
      <c r="AJ11" s="267"/>
      <c r="AK11" s="267"/>
      <c r="AL11" s="267"/>
      <c r="AM11" s="267"/>
      <c r="AN11" s="267"/>
      <c r="AO11" s="267"/>
      <c r="AP11" s="267"/>
      <c r="AQ11" s="267"/>
      <c r="AR11" s="267"/>
      <c r="AS11" s="267"/>
    </row>
    <row r="12" spans="1:46" s="263" customFormat="1" ht="24" hidden="1">
      <c r="A12" s="267" t="s">
        <v>777</v>
      </c>
      <c r="B12" s="267"/>
      <c r="C12" s="651"/>
      <c r="D12" s="267"/>
      <c r="E12" s="267"/>
      <c r="F12" s="267"/>
      <c r="G12" s="267"/>
      <c r="H12" s="267"/>
      <c r="I12" s="267"/>
      <c r="J12" s="267"/>
      <c r="K12" s="267"/>
      <c r="L12" s="319"/>
      <c r="M12" s="319"/>
      <c r="N12" s="319"/>
      <c r="O12" s="319"/>
      <c r="P12" s="319"/>
      <c r="Q12" s="319"/>
      <c r="R12" s="319"/>
      <c r="S12" s="319"/>
      <c r="T12" s="319"/>
      <c r="U12" s="319"/>
      <c r="AA12" s="267"/>
      <c r="AB12" s="267"/>
      <c r="AC12" s="267"/>
      <c r="AD12" s="267" t="s">
        <v>787</v>
      </c>
      <c r="AF12" s="267"/>
      <c r="AG12" s="267"/>
      <c r="AH12" s="267"/>
      <c r="AI12" s="267"/>
      <c r="AJ12" s="267"/>
      <c r="AK12" s="267"/>
      <c r="AL12" s="267"/>
      <c r="AM12" s="267"/>
      <c r="AN12" s="267"/>
      <c r="AO12" s="267"/>
      <c r="AP12" s="267"/>
      <c r="AQ12" s="267"/>
      <c r="AR12" s="267"/>
      <c r="AS12" s="267"/>
    </row>
    <row r="13" spans="1:46" s="263" customFormat="1" ht="24" hidden="1">
      <c r="A13" s="267" t="s">
        <v>778</v>
      </c>
      <c r="B13" s="267"/>
      <c r="C13" s="319"/>
      <c r="D13" s="654"/>
      <c r="E13" s="654"/>
      <c r="F13" s="654"/>
      <c r="G13" s="654"/>
      <c r="H13" s="654"/>
      <c r="I13" s="654"/>
      <c r="J13" s="267"/>
      <c r="K13" s="267"/>
      <c r="L13" s="319"/>
      <c r="M13" s="319"/>
      <c r="N13" s="319"/>
      <c r="O13" s="319"/>
      <c r="P13" s="319"/>
      <c r="Q13" s="319"/>
      <c r="R13" s="319"/>
      <c r="S13" s="319"/>
      <c r="T13" s="319"/>
      <c r="U13" s="319"/>
      <c r="AA13" s="267"/>
      <c r="AB13" s="267"/>
      <c r="AC13" s="267"/>
      <c r="AD13" s="267" t="s">
        <v>788</v>
      </c>
      <c r="AF13" s="267"/>
      <c r="AG13" s="267"/>
      <c r="AH13" s="267"/>
      <c r="AI13" s="267"/>
      <c r="AJ13" s="267"/>
      <c r="AK13" s="267"/>
      <c r="AL13" s="267"/>
      <c r="AM13" s="267"/>
      <c r="AN13" s="267"/>
      <c r="AO13" s="267"/>
      <c r="AP13" s="267"/>
      <c r="AQ13" s="267"/>
      <c r="AR13" s="267"/>
      <c r="AS13" s="267"/>
    </row>
    <row r="14" spans="1:46" s="263" customFormat="1" ht="24" hidden="1">
      <c r="A14" s="653" t="s">
        <v>779</v>
      </c>
      <c r="B14" s="267"/>
      <c r="C14" s="319"/>
      <c r="D14" s="654"/>
      <c r="E14" s="654"/>
      <c r="F14" s="654"/>
      <c r="G14" s="654"/>
      <c r="H14" s="654"/>
      <c r="I14" s="654"/>
      <c r="J14" s="267"/>
      <c r="K14" s="267"/>
      <c r="L14" s="319"/>
      <c r="M14" s="319"/>
      <c r="N14" s="319"/>
      <c r="O14" s="319"/>
      <c r="P14" s="319"/>
      <c r="Q14" s="319"/>
      <c r="R14" s="319"/>
      <c r="S14" s="319"/>
      <c r="T14" s="319"/>
      <c r="U14" s="319"/>
      <c r="Y14" s="267"/>
      <c r="Z14" s="267"/>
      <c r="AA14" s="267"/>
      <c r="AB14" s="267"/>
      <c r="AC14" s="267"/>
      <c r="AD14" s="267" t="s">
        <v>789</v>
      </c>
      <c r="AE14" s="267"/>
      <c r="AF14" s="267"/>
      <c r="AG14" s="267"/>
      <c r="AH14" s="267"/>
      <c r="AI14" s="267"/>
      <c r="AJ14" s="267"/>
      <c r="AK14" s="267"/>
      <c r="AL14" s="267"/>
      <c r="AM14" s="267"/>
      <c r="AN14" s="267"/>
      <c r="AO14" s="267"/>
      <c r="AP14" s="267"/>
      <c r="AQ14" s="267"/>
      <c r="AR14" s="267"/>
      <c r="AT14" s="655" t="e">
        <f>AG6/#REF!*100</f>
        <v>#REF!</v>
      </c>
    </row>
    <row r="15" spans="1:46" s="263" customFormat="1" ht="24" hidden="1">
      <c r="A15" s="267" t="s">
        <v>780</v>
      </c>
      <c r="B15" s="267"/>
      <c r="C15" s="651"/>
      <c r="D15" s="267"/>
      <c r="E15" s="267"/>
      <c r="F15" s="267"/>
      <c r="G15" s="267"/>
      <c r="H15" s="267"/>
      <c r="I15" s="267"/>
      <c r="J15" s="267"/>
      <c r="K15" s="267"/>
      <c r="L15" s="319"/>
      <c r="M15" s="319"/>
      <c r="N15" s="319"/>
      <c r="O15" s="319"/>
      <c r="P15" s="319"/>
      <c r="Q15" s="319"/>
      <c r="R15" s="319"/>
      <c r="S15" s="319"/>
      <c r="T15" s="319"/>
      <c r="U15" s="319"/>
      <c r="Y15" s="267"/>
      <c r="Z15" s="267"/>
      <c r="AA15" s="267"/>
      <c r="AB15" s="267"/>
      <c r="AC15" s="267"/>
      <c r="AD15" s="267" t="s">
        <v>790</v>
      </c>
      <c r="AE15" s="267"/>
      <c r="AF15" s="267"/>
      <c r="AG15" s="267"/>
      <c r="AH15" s="267"/>
      <c r="AI15" s="267"/>
      <c r="AJ15" s="267"/>
      <c r="AK15" s="267"/>
      <c r="AL15" s="267"/>
      <c r="AM15" s="267"/>
      <c r="AN15" s="267"/>
      <c r="AO15" s="267"/>
      <c r="AP15" s="267"/>
      <c r="AQ15" s="267"/>
      <c r="AR15" s="267"/>
      <c r="AT15" s="268" t="e">
        <f>AP6/#REF!*100</f>
        <v>#REF!</v>
      </c>
    </row>
    <row r="16" spans="1:46" s="263" customFormat="1" ht="24" hidden="1">
      <c r="A16" s="267" t="s">
        <v>781</v>
      </c>
      <c r="B16" s="267"/>
      <c r="C16" s="651"/>
      <c r="D16" s="267"/>
      <c r="E16" s="267"/>
      <c r="F16" s="267"/>
      <c r="G16" s="267"/>
      <c r="H16" s="267"/>
      <c r="I16" s="267"/>
      <c r="J16" s="267"/>
      <c r="K16" s="267"/>
      <c r="L16" s="319"/>
      <c r="M16" s="319"/>
      <c r="N16" s="319"/>
      <c r="O16" s="319"/>
      <c r="P16" s="319"/>
      <c r="Q16" s="319"/>
      <c r="R16" s="319"/>
      <c r="S16" s="319"/>
      <c r="T16" s="319"/>
      <c r="U16" s="319"/>
      <c r="Y16" s="267"/>
      <c r="Z16" s="267"/>
      <c r="AA16" s="267"/>
      <c r="AB16" s="267"/>
      <c r="AC16" s="267"/>
      <c r="AD16" s="267" t="s">
        <v>791</v>
      </c>
      <c r="AE16" s="267"/>
      <c r="AF16" s="267"/>
      <c r="AG16" s="267"/>
      <c r="AH16" s="267"/>
      <c r="AI16" s="267"/>
      <c r="AJ16" s="267"/>
      <c r="AK16" s="267"/>
      <c r="AL16" s="267"/>
      <c r="AM16" s="267"/>
      <c r="AN16" s="267"/>
      <c r="AO16" s="267"/>
      <c r="AP16" s="267"/>
      <c r="AQ16" s="267"/>
      <c r="AR16" s="267"/>
      <c r="AS16" s="267"/>
      <c r="AT16" s="267"/>
    </row>
    <row r="17" spans="1:56" s="263" customFormat="1" ht="24" hidden="1">
      <c r="A17" s="267" t="s">
        <v>782</v>
      </c>
      <c r="B17" s="267"/>
      <c r="C17" s="651"/>
      <c r="D17" s="267"/>
      <c r="E17" s="267"/>
      <c r="F17" s="267"/>
      <c r="G17" s="267"/>
      <c r="H17" s="267"/>
      <c r="I17" s="267"/>
      <c r="J17" s="267"/>
      <c r="K17" s="267"/>
      <c r="L17" s="319"/>
      <c r="M17" s="319"/>
      <c r="N17" s="319"/>
      <c r="O17" s="319"/>
      <c r="P17" s="319"/>
      <c r="Q17" s="319"/>
      <c r="R17" s="319"/>
      <c r="S17" s="319"/>
      <c r="T17" s="319"/>
      <c r="U17" s="319"/>
      <c r="Y17" s="267"/>
      <c r="Z17" s="267"/>
      <c r="AA17" s="267"/>
      <c r="AB17" s="267"/>
      <c r="AC17" s="267"/>
      <c r="AD17" s="267" t="s">
        <v>792</v>
      </c>
      <c r="AE17" s="267"/>
      <c r="AF17" s="267"/>
      <c r="AG17" s="267"/>
      <c r="AH17" s="267"/>
      <c r="AI17" s="267"/>
      <c r="AJ17" s="267"/>
      <c r="AK17" s="267"/>
      <c r="AL17" s="267"/>
      <c r="AM17" s="267"/>
      <c r="AN17" s="267"/>
      <c r="AO17" s="267"/>
      <c r="AP17" s="267"/>
      <c r="AQ17" s="267"/>
      <c r="AR17" s="267"/>
      <c r="AT17" s="345" t="e">
        <f>#REF!</f>
        <v>#REF!</v>
      </c>
    </row>
    <row r="18" spans="1:56" s="263" customFormat="1" ht="24">
      <c r="A18" s="267" t="s">
        <v>1138</v>
      </c>
      <c r="B18" s="267"/>
      <c r="C18" s="651"/>
      <c r="D18" s="267"/>
      <c r="E18" s="267"/>
      <c r="F18" s="267"/>
      <c r="G18" s="267"/>
      <c r="H18" s="267"/>
      <c r="I18" s="267"/>
      <c r="J18" s="267"/>
      <c r="K18" s="267"/>
      <c r="L18" s="319"/>
      <c r="M18" s="319"/>
      <c r="N18" s="319"/>
      <c r="O18" s="319"/>
      <c r="P18" s="319"/>
      <c r="Q18" s="319"/>
      <c r="R18" s="319"/>
      <c r="S18" s="319"/>
      <c r="T18" s="319"/>
      <c r="U18" s="319"/>
      <c r="V18" s="267"/>
      <c r="W18" s="267"/>
      <c r="X18" s="267"/>
      <c r="Y18" s="267"/>
      <c r="Z18" s="267"/>
      <c r="AA18" s="267"/>
      <c r="AB18" s="344" t="s">
        <v>1236</v>
      </c>
      <c r="AC18" s="656">
        <f>AB198</f>
        <v>1937.7548599999998</v>
      </c>
      <c r="AD18" s="656"/>
      <c r="AE18" s="656"/>
      <c r="AF18" s="656"/>
      <c r="AG18" s="656"/>
      <c r="AH18" s="656"/>
      <c r="AI18" s="656"/>
      <c r="AJ18" s="656"/>
      <c r="AK18" s="656"/>
      <c r="AL18" s="656"/>
      <c r="AM18" s="656"/>
      <c r="AN18" s="656"/>
      <c r="AO18" s="656"/>
      <c r="AP18" s="656"/>
      <c r="AQ18" s="656"/>
      <c r="AR18" s="656"/>
      <c r="AS18" s="656"/>
      <c r="AT18" s="656"/>
    </row>
    <row r="19" spans="1:56" s="263" customFormat="1" ht="52.5" customHeight="1">
      <c r="A19" s="638" t="s">
        <v>752</v>
      </c>
      <c r="B19" s="638" t="s">
        <v>753</v>
      </c>
      <c r="C19" s="639" t="s">
        <v>754</v>
      </c>
      <c r="D19" s="639" t="s">
        <v>755</v>
      </c>
      <c r="E19" s="639"/>
      <c r="F19" s="639"/>
      <c r="G19" s="639" t="s">
        <v>759</v>
      </c>
      <c r="H19" s="639"/>
      <c r="I19" s="639"/>
      <c r="J19" s="635" t="s">
        <v>760</v>
      </c>
      <c r="K19" s="636"/>
      <c r="L19" s="636"/>
      <c r="M19" s="637"/>
      <c r="N19" s="641" t="s">
        <v>1230</v>
      </c>
      <c r="O19" s="642"/>
      <c r="P19" s="643"/>
      <c r="Q19" s="639" t="s">
        <v>1231</v>
      </c>
      <c r="R19" s="639"/>
      <c r="S19" s="639"/>
      <c r="T19" s="639" t="s">
        <v>1232</v>
      </c>
      <c r="U19" s="639"/>
      <c r="V19" s="639" t="s">
        <v>1233</v>
      </c>
      <c r="W19" s="642"/>
      <c r="X19" s="643"/>
      <c r="Y19" s="639" t="s">
        <v>1234</v>
      </c>
      <c r="Z19" s="639"/>
      <c r="AA19" s="639"/>
      <c r="AB19" s="639" t="s">
        <v>1235</v>
      </c>
      <c r="AC19" s="639"/>
      <c r="AD19" s="638" t="s">
        <v>764</v>
      </c>
      <c r="AE19" s="638"/>
      <c r="AF19" s="638"/>
      <c r="AG19" s="639" t="s">
        <v>765</v>
      </c>
      <c r="AH19" s="639"/>
      <c r="AI19" s="639"/>
      <c r="AJ19" s="639" t="s">
        <v>767</v>
      </c>
      <c r="AK19" s="639"/>
      <c r="AL19" s="639"/>
      <c r="AM19" s="639" t="s">
        <v>766</v>
      </c>
      <c r="AN19" s="639"/>
      <c r="AO19" s="639"/>
      <c r="AP19" s="639" t="s">
        <v>768</v>
      </c>
      <c r="AQ19" s="639"/>
      <c r="AR19" s="639" t="s">
        <v>769</v>
      </c>
      <c r="AS19" s="639"/>
      <c r="AT19" s="638" t="s">
        <v>497</v>
      </c>
      <c r="AU19" s="305"/>
      <c r="AV19" s="305"/>
      <c r="AW19" s="305"/>
      <c r="AX19" s="305"/>
    </row>
    <row r="20" spans="1:56" s="263" customFormat="1" ht="37.5" customHeight="1">
      <c r="A20" s="638"/>
      <c r="B20" s="638"/>
      <c r="C20" s="639"/>
      <c r="D20" s="559" t="s">
        <v>761</v>
      </c>
      <c r="E20" s="559" t="s">
        <v>757</v>
      </c>
      <c r="F20" s="559" t="s">
        <v>758</v>
      </c>
      <c r="G20" s="559" t="s">
        <v>761</v>
      </c>
      <c r="H20" s="559" t="s">
        <v>757</v>
      </c>
      <c r="I20" s="559" t="s">
        <v>758</v>
      </c>
      <c r="J20" s="559" t="s">
        <v>761</v>
      </c>
      <c r="K20" s="559" t="s">
        <v>757</v>
      </c>
      <c r="L20" s="481" t="s">
        <v>758</v>
      </c>
      <c r="M20" s="481" t="s">
        <v>860</v>
      </c>
      <c r="N20" s="559" t="s">
        <v>761</v>
      </c>
      <c r="O20" s="559" t="s">
        <v>757</v>
      </c>
      <c r="P20" s="559" t="s">
        <v>758</v>
      </c>
      <c r="Q20" s="559" t="s">
        <v>761</v>
      </c>
      <c r="R20" s="559" t="s">
        <v>757</v>
      </c>
      <c r="S20" s="559" t="s">
        <v>805</v>
      </c>
      <c r="T20" s="559" t="s">
        <v>804</v>
      </c>
      <c r="U20" s="559" t="s">
        <v>805</v>
      </c>
      <c r="V20" s="559" t="s">
        <v>761</v>
      </c>
      <c r="W20" s="559" t="s">
        <v>757</v>
      </c>
      <c r="X20" s="559" t="s">
        <v>758</v>
      </c>
      <c r="Y20" s="559" t="s">
        <v>761</v>
      </c>
      <c r="Z20" s="559" t="s">
        <v>757</v>
      </c>
      <c r="AA20" s="559" t="s">
        <v>805</v>
      </c>
      <c r="AB20" s="559" t="s">
        <v>804</v>
      </c>
      <c r="AC20" s="559" t="s">
        <v>805</v>
      </c>
      <c r="AD20" s="559" t="s">
        <v>761</v>
      </c>
      <c r="AE20" s="559" t="s">
        <v>757</v>
      </c>
      <c r="AF20" s="559" t="s">
        <v>758</v>
      </c>
      <c r="AG20" s="559" t="s">
        <v>761</v>
      </c>
      <c r="AH20" s="559" t="s">
        <v>757</v>
      </c>
      <c r="AI20" s="559" t="s">
        <v>758</v>
      </c>
      <c r="AJ20" s="559"/>
      <c r="AK20" s="559"/>
      <c r="AL20" s="559"/>
      <c r="AM20" s="559"/>
      <c r="AN20" s="559"/>
      <c r="AO20" s="559"/>
      <c r="AP20" s="559"/>
      <c r="AQ20" s="559"/>
      <c r="AR20" s="558"/>
      <c r="AS20" s="657"/>
      <c r="AT20" s="638"/>
      <c r="AU20" s="305"/>
      <c r="AV20" s="305"/>
      <c r="AW20" s="305"/>
      <c r="AX20" s="305"/>
    </row>
    <row r="21" spans="1:56" s="263" customFormat="1" ht="19.5">
      <c r="A21" s="557">
        <v>1</v>
      </c>
      <c r="B21" s="557">
        <v>2</v>
      </c>
      <c r="C21" s="557">
        <v>3</v>
      </c>
      <c r="D21" s="557">
        <v>4</v>
      </c>
      <c r="E21" s="557">
        <v>5</v>
      </c>
      <c r="F21" s="557">
        <v>6</v>
      </c>
      <c r="G21" s="557">
        <v>7</v>
      </c>
      <c r="H21" s="557">
        <v>8</v>
      </c>
      <c r="I21" s="557">
        <v>9</v>
      </c>
      <c r="J21" s="557">
        <v>4</v>
      </c>
      <c r="K21" s="557">
        <v>5</v>
      </c>
      <c r="L21" s="557">
        <v>6</v>
      </c>
      <c r="M21" s="557"/>
      <c r="N21" s="557">
        <v>7</v>
      </c>
      <c r="O21" s="557">
        <v>8</v>
      </c>
      <c r="P21" s="557">
        <v>9</v>
      </c>
      <c r="Q21" s="557">
        <v>10</v>
      </c>
      <c r="R21" s="557">
        <v>11</v>
      </c>
      <c r="S21" s="557">
        <v>12</v>
      </c>
      <c r="T21" s="557">
        <v>13</v>
      </c>
      <c r="U21" s="557">
        <v>14</v>
      </c>
      <c r="V21" s="557">
        <v>7</v>
      </c>
      <c r="W21" s="557">
        <v>8</v>
      </c>
      <c r="X21" s="557">
        <v>9</v>
      </c>
      <c r="Y21" s="557">
        <v>10</v>
      </c>
      <c r="Z21" s="557">
        <v>11</v>
      </c>
      <c r="AA21" s="557">
        <v>12</v>
      </c>
      <c r="AB21" s="557">
        <v>13</v>
      </c>
      <c r="AC21" s="557">
        <v>14</v>
      </c>
      <c r="AD21" s="557">
        <v>13</v>
      </c>
      <c r="AE21" s="557">
        <v>13.5</v>
      </c>
      <c r="AF21" s="557">
        <v>14</v>
      </c>
      <c r="AG21" s="557">
        <v>14.5</v>
      </c>
      <c r="AH21" s="557">
        <v>15</v>
      </c>
      <c r="AI21" s="557">
        <v>15.5</v>
      </c>
      <c r="AJ21" s="557">
        <v>16</v>
      </c>
      <c r="AK21" s="557">
        <v>16.5</v>
      </c>
      <c r="AL21" s="557">
        <v>17</v>
      </c>
      <c r="AM21" s="557">
        <v>17.5</v>
      </c>
      <c r="AN21" s="557">
        <v>18</v>
      </c>
      <c r="AO21" s="557">
        <v>18.5</v>
      </c>
      <c r="AP21" s="557">
        <v>19</v>
      </c>
      <c r="AQ21" s="557">
        <v>19.5</v>
      </c>
      <c r="AR21" s="557">
        <v>20</v>
      </c>
      <c r="AS21" s="557">
        <v>20.5</v>
      </c>
      <c r="AT21" s="557">
        <v>15</v>
      </c>
      <c r="AU21" s="263" t="s">
        <v>1245</v>
      </c>
      <c r="AV21" s="263" t="s">
        <v>1246</v>
      </c>
    </row>
    <row r="22" spans="1:56" ht="28.5">
      <c r="A22" s="658" t="s">
        <v>825</v>
      </c>
      <c r="B22" s="659"/>
      <c r="C22" s="660"/>
      <c r="D22" s="282"/>
      <c r="E22" s="282"/>
      <c r="F22" s="282"/>
      <c r="G22" s="282"/>
      <c r="H22" s="282"/>
      <c r="I22" s="282"/>
      <c r="J22" s="367"/>
      <c r="K22" s="368"/>
      <c r="L22" s="368"/>
      <c r="M22" s="368"/>
      <c r="N22" s="367"/>
      <c r="O22" s="368"/>
      <c r="P22" s="368"/>
      <c r="Q22" s="367"/>
      <c r="R22" s="368"/>
      <c r="S22" s="367"/>
      <c r="T22" s="367"/>
      <c r="U22" s="367"/>
      <c r="V22" s="367"/>
      <c r="W22" s="368"/>
      <c r="X22" s="368"/>
      <c r="Y22" s="367"/>
      <c r="Z22" s="368"/>
      <c r="AA22" s="367"/>
      <c r="AB22" s="367"/>
      <c r="AC22" s="367"/>
      <c r="AD22" s="367"/>
      <c r="AE22" s="367"/>
      <c r="AF22" s="367"/>
      <c r="AG22" s="367"/>
      <c r="AH22" s="367"/>
      <c r="AI22" s="367"/>
      <c r="AJ22" s="367"/>
      <c r="AK22" s="367"/>
      <c r="AL22" s="367"/>
      <c r="AM22" s="367"/>
      <c r="AN22" s="367"/>
      <c r="AO22" s="367"/>
      <c r="AP22" s="367"/>
      <c r="AQ22" s="367"/>
      <c r="AR22" s="367"/>
      <c r="AS22" s="367"/>
      <c r="AT22" s="405"/>
      <c r="AU22" s="263"/>
      <c r="AV22" s="263"/>
      <c r="AW22" s="263"/>
      <c r="AX22" s="263"/>
      <c r="AY22" s="263"/>
      <c r="AZ22" s="263"/>
      <c r="BA22" s="263"/>
      <c r="BB22" s="263"/>
      <c r="BC22" s="263"/>
      <c r="BD22" s="263"/>
    </row>
    <row r="23" spans="1:56" ht="24">
      <c r="A23" s="487" t="s">
        <v>998</v>
      </c>
      <c r="B23" s="486" t="s">
        <v>864</v>
      </c>
      <c r="C23" s="532" t="s">
        <v>1174</v>
      </c>
      <c r="D23" s="532"/>
      <c r="E23" s="284"/>
      <c r="F23" s="284"/>
      <c r="G23" s="284"/>
      <c r="H23" s="284"/>
      <c r="I23" s="284"/>
      <c r="J23" s="504">
        <v>1</v>
      </c>
      <c r="K23" s="504">
        <f t="shared" ref="K23:K54" si="0">(L23/$L$198)*100</f>
        <v>7.3798196372080654E-2</v>
      </c>
      <c r="L23" s="504">
        <v>1.5</v>
      </c>
      <c r="M23" s="504">
        <f>L23</f>
        <v>1.5</v>
      </c>
      <c r="N23" s="504">
        <v>1</v>
      </c>
      <c r="O23" s="504">
        <f t="shared" ref="O23:O54" si="1">P23/$L$198*100</f>
        <v>1.7711567129299357E-2</v>
      </c>
      <c r="P23" s="504">
        <v>0.36</v>
      </c>
      <c r="Q23" s="504">
        <v>0</v>
      </c>
      <c r="R23" s="504">
        <f>IF(N23=0,Q23/J23*K23,Q23/N23*O23)</f>
        <v>0</v>
      </c>
      <c r="S23" s="504">
        <f>ROUND(IF(O23=0,R23/K23*100,R23/O23*100),2)</f>
        <v>0</v>
      </c>
      <c r="T23" s="504">
        <v>0</v>
      </c>
      <c r="U23" s="504">
        <f>IFERROR(T23/P23*100,0)</f>
        <v>0</v>
      </c>
      <c r="V23" s="504">
        <f>J23</f>
        <v>1</v>
      </c>
      <c r="W23" s="504">
        <f t="shared" ref="W23:W86" si="2">X23/$L$198*100</f>
        <v>7.3798196372080654E-2</v>
      </c>
      <c r="X23" s="504">
        <f>M23</f>
        <v>1.5</v>
      </c>
      <c r="Y23" s="504">
        <v>0</v>
      </c>
      <c r="Z23" s="504">
        <f>IF(V23=0,Y23/J23*K23,Y23/V23*W23)</f>
        <v>0</v>
      </c>
      <c r="AA23" s="504">
        <f>ROUND(IF(W23=0,Z23/K23*100,Z23/W23*100),2)</f>
        <v>0</v>
      </c>
      <c r="AB23" s="504">
        <v>0</v>
      </c>
      <c r="AC23" s="504">
        <f>IFERROR(AB23/X23*100,0)</f>
        <v>0</v>
      </c>
      <c r="AD23" s="505"/>
      <c r="AE23" s="505"/>
      <c r="AF23" s="505"/>
      <c r="AG23" s="505"/>
      <c r="AH23" s="505"/>
      <c r="AI23" s="505"/>
      <c r="AJ23" s="505"/>
      <c r="AK23" s="505"/>
      <c r="AL23" s="505"/>
      <c r="AM23" s="505"/>
      <c r="AN23" s="505"/>
      <c r="AO23" s="505"/>
      <c r="AP23" s="505"/>
      <c r="AQ23" s="505"/>
      <c r="AR23" s="505"/>
      <c r="AS23" s="505"/>
      <c r="AT23" s="507"/>
      <c r="AU23" s="693">
        <f>'[2]3rd Trimester Progress(Pradesh '!AB23</f>
        <v>0</v>
      </c>
      <c r="AV23" s="693">
        <f>AB23-AU23</f>
        <v>0</v>
      </c>
      <c r="AW23" s="263"/>
      <c r="AX23" s="263"/>
      <c r="AY23" s="263"/>
      <c r="AZ23" s="263"/>
      <c r="BA23" s="263"/>
      <c r="BB23" s="263"/>
      <c r="BC23" s="263"/>
      <c r="BD23" s="263"/>
    </row>
    <row r="24" spans="1:56" ht="45.75" customHeight="1">
      <c r="A24" s="487" t="s">
        <v>999</v>
      </c>
      <c r="B24" s="486" t="s">
        <v>865</v>
      </c>
      <c r="C24" s="532" t="s">
        <v>797</v>
      </c>
      <c r="D24" s="532"/>
      <c r="E24" s="284"/>
      <c r="F24" s="284"/>
      <c r="G24" s="284"/>
      <c r="H24" s="284"/>
      <c r="I24" s="284"/>
      <c r="J24" s="504">
        <v>1</v>
      </c>
      <c r="K24" s="504">
        <f t="shared" si="0"/>
        <v>0.24599398790693555</v>
      </c>
      <c r="L24" s="504">
        <v>5</v>
      </c>
      <c r="M24" s="504">
        <f t="shared" ref="M24:M87" si="3">L24</f>
        <v>5</v>
      </c>
      <c r="N24" s="504">
        <v>1</v>
      </c>
      <c r="O24" s="504">
        <f t="shared" si="1"/>
        <v>6.1498496976733888E-2</v>
      </c>
      <c r="P24" s="504">
        <v>1.25</v>
      </c>
      <c r="Q24" s="504">
        <v>1</v>
      </c>
      <c r="R24" s="504">
        <f>IF(N24=0,Q24/J24*K24,Q24/N24*O24)</f>
        <v>6.1498496976733888E-2</v>
      </c>
      <c r="S24" s="504">
        <f t="shared" ref="S24:S87" si="4">ROUND(IF(O24=0,R24/K24*100,R24/O24*100),2)</f>
        <v>100</v>
      </c>
      <c r="T24" s="504">
        <v>4.9375499999999999</v>
      </c>
      <c r="U24" s="504">
        <f t="shared" ref="U24:U87" si="5">IFERROR(T24/P24*100,0)</f>
        <v>395.00400000000002</v>
      </c>
      <c r="V24" s="504">
        <f t="shared" ref="V24:V87" si="6">J24</f>
        <v>1</v>
      </c>
      <c r="W24" s="504">
        <f t="shared" si="2"/>
        <v>0.24599398790693555</v>
      </c>
      <c r="X24" s="504">
        <f t="shared" ref="X24:X87" si="7">M24</f>
        <v>5</v>
      </c>
      <c r="Y24" s="504">
        <v>1</v>
      </c>
      <c r="Z24" s="504">
        <f>IF(V24=0,Y24/J24*K24,Y24/V24*W24)</f>
        <v>0.24599398790693555</v>
      </c>
      <c r="AA24" s="504">
        <f>ROUND(IF(W24=0,Z24/K24*100,Z24/W24*100),2)</f>
        <v>100</v>
      </c>
      <c r="AB24" s="504">
        <v>4.9375499999999999</v>
      </c>
      <c r="AC24" s="504">
        <f t="shared" ref="AC24:AC87" si="8">IFERROR(AB24/X24*100,0)</f>
        <v>98.751000000000005</v>
      </c>
      <c r="AD24" s="505"/>
      <c r="AE24" s="505"/>
      <c r="AF24" s="505"/>
      <c r="AG24" s="505"/>
      <c r="AH24" s="505"/>
      <c r="AI24" s="505"/>
      <c r="AJ24" s="505"/>
      <c r="AK24" s="505"/>
      <c r="AL24" s="505"/>
      <c r="AM24" s="505"/>
      <c r="AN24" s="505"/>
      <c r="AO24" s="505"/>
      <c r="AP24" s="505"/>
      <c r="AQ24" s="505"/>
      <c r="AR24" s="505"/>
      <c r="AS24" s="505"/>
      <c r="AT24" s="507"/>
      <c r="AU24" s="693">
        <f>'[2]3rd Trimester Progress(Pradesh '!AB24</f>
        <v>0</v>
      </c>
      <c r="AV24" s="693">
        <f t="shared" ref="AV24:AV87" si="9">AB24-AU24</f>
        <v>4.9375499999999999</v>
      </c>
      <c r="AW24" s="263"/>
      <c r="AX24" s="263"/>
      <c r="AY24" s="263"/>
      <c r="AZ24" s="263"/>
      <c r="BA24" s="263"/>
      <c r="BB24" s="263"/>
      <c r="BC24" s="263"/>
      <c r="BD24" s="263"/>
    </row>
    <row r="25" spans="1:56" ht="24.75" customHeight="1">
      <c r="A25" s="487" t="s">
        <v>1008</v>
      </c>
      <c r="B25" s="486" t="s">
        <v>866</v>
      </c>
      <c r="C25" s="532" t="s">
        <v>797</v>
      </c>
      <c r="D25" s="532"/>
      <c r="E25" s="284"/>
      <c r="F25" s="284"/>
      <c r="G25" s="284"/>
      <c r="H25" s="284"/>
      <c r="I25" s="284"/>
      <c r="J25" s="504">
        <v>1</v>
      </c>
      <c r="K25" s="504">
        <f t="shared" si="0"/>
        <v>0.24599398790693555</v>
      </c>
      <c r="L25" s="504">
        <v>5</v>
      </c>
      <c r="M25" s="504">
        <f t="shared" si="3"/>
        <v>5</v>
      </c>
      <c r="N25" s="504">
        <v>1</v>
      </c>
      <c r="O25" s="504">
        <f t="shared" si="1"/>
        <v>6.1498496976733888E-2</v>
      </c>
      <c r="P25" s="504">
        <v>1.25</v>
      </c>
      <c r="Q25" s="504">
        <v>0</v>
      </c>
      <c r="R25" s="504">
        <f t="shared" ref="R25:R87" si="10">IF(N25=0,Q25/J25*K25,Q25/N25*O25)</f>
        <v>0</v>
      </c>
      <c r="S25" s="504">
        <f t="shared" si="4"/>
        <v>0</v>
      </c>
      <c r="T25" s="504">
        <v>0.13393000000000033</v>
      </c>
      <c r="U25" s="504">
        <f t="shared" si="5"/>
        <v>10.714400000000026</v>
      </c>
      <c r="V25" s="504">
        <f t="shared" si="6"/>
        <v>1</v>
      </c>
      <c r="W25" s="504">
        <f t="shared" si="2"/>
        <v>0.24599398790693555</v>
      </c>
      <c r="X25" s="504">
        <f t="shared" si="7"/>
        <v>5</v>
      </c>
      <c r="Y25" s="504">
        <v>1</v>
      </c>
      <c r="Z25" s="504">
        <f t="shared" ref="Z25:Z86" si="11">IF(V25=0,Y25/J25*K25,Y25/V25*W25)</f>
        <v>0.24599398790693555</v>
      </c>
      <c r="AA25" s="504">
        <f t="shared" ref="AA25:AA31" si="12">ROUND(IF(W25=0,Z25/K25*100,Z25/W25*100),2)</f>
        <v>100</v>
      </c>
      <c r="AB25" s="504">
        <v>4.9239300000000004</v>
      </c>
      <c r="AC25" s="504">
        <f t="shared" si="8"/>
        <v>98.4786</v>
      </c>
      <c r="AD25" s="505"/>
      <c r="AE25" s="505"/>
      <c r="AF25" s="505"/>
      <c r="AG25" s="505"/>
      <c r="AH25" s="505"/>
      <c r="AI25" s="505"/>
      <c r="AJ25" s="505"/>
      <c r="AK25" s="505"/>
      <c r="AL25" s="505"/>
      <c r="AM25" s="505"/>
      <c r="AN25" s="505"/>
      <c r="AO25" s="505"/>
      <c r="AP25" s="505"/>
      <c r="AQ25" s="505"/>
      <c r="AR25" s="505"/>
      <c r="AS25" s="505"/>
      <c r="AT25" s="507"/>
      <c r="AU25" s="693">
        <f>'[2]3rd Trimester Progress(Pradesh '!AB25</f>
        <v>4.79</v>
      </c>
      <c r="AV25" s="693">
        <f t="shared" si="9"/>
        <v>0.13393000000000033</v>
      </c>
      <c r="AW25" s="263"/>
      <c r="AX25" s="263"/>
      <c r="AY25" s="263"/>
      <c r="AZ25" s="263"/>
      <c r="BA25" s="263"/>
      <c r="BB25" s="263"/>
      <c r="BC25" s="263"/>
      <c r="BD25" s="263"/>
    </row>
    <row r="26" spans="1:56" ht="51.75" customHeight="1">
      <c r="A26" s="487" t="s">
        <v>1000</v>
      </c>
      <c r="B26" s="486" t="s">
        <v>867</v>
      </c>
      <c r="C26" s="532" t="s">
        <v>797</v>
      </c>
      <c r="D26" s="532"/>
      <c r="E26" s="284"/>
      <c r="F26" s="284"/>
      <c r="G26" s="284"/>
      <c r="H26" s="284"/>
      <c r="I26" s="284"/>
      <c r="J26" s="504">
        <v>1</v>
      </c>
      <c r="K26" s="504">
        <f t="shared" si="0"/>
        <v>2.7059338669762907</v>
      </c>
      <c r="L26" s="504">
        <v>55</v>
      </c>
      <c r="M26" s="504">
        <f t="shared" si="3"/>
        <v>55</v>
      </c>
      <c r="N26" s="504">
        <v>1</v>
      </c>
      <c r="O26" s="504">
        <f t="shared" si="1"/>
        <v>1.5989609213950811</v>
      </c>
      <c r="P26" s="504">
        <v>32.5</v>
      </c>
      <c r="Q26" s="504">
        <v>0.15</v>
      </c>
      <c r="R26" s="504">
        <f t="shared" si="10"/>
        <v>0.23984413820926215</v>
      </c>
      <c r="S26" s="504">
        <f t="shared" si="4"/>
        <v>15</v>
      </c>
      <c r="T26" s="504">
        <v>30.509370000000004</v>
      </c>
      <c r="U26" s="504">
        <f t="shared" si="5"/>
        <v>93.874984615384633</v>
      </c>
      <c r="V26" s="504">
        <f t="shared" si="6"/>
        <v>1</v>
      </c>
      <c r="W26" s="504">
        <f t="shared" si="2"/>
        <v>2.7059338669762907</v>
      </c>
      <c r="X26" s="504">
        <f t="shared" si="7"/>
        <v>55</v>
      </c>
      <c r="Y26" s="504">
        <v>1</v>
      </c>
      <c r="Z26" s="504">
        <f t="shared" si="11"/>
        <v>2.7059338669762907</v>
      </c>
      <c r="AA26" s="504">
        <f t="shared" si="12"/>
        <v>100</v>
      </c>
      <c r="AB26" s="504">
        <v>54.869370000000004</v>
      </c>
      <c r="AC26" s="504">
        <f t="shared" si="8"/>
        <v>99.762490909090914</v>
      </c>
      <c r="AD26" s="505"/>
      <c r="AE26" s="505"/>
      <c r="AF26" s="505"/>
      <c r="AG26" s="505"/>
      <c r="AH26" s="505"/>
      <c r="AI26" s="505"/>
      <c r="AJ26" s="505"/>
      <c r="AK26" s="505"/>
      <c r="AL26" s="505"/>
      <c r="AM26" s="505"/>
      <c r="AN26" s="505"/>
      <c r="AO26" s="505"/>
      <c r="AP26" s="505"/>
      <c r="AQ26" s="505"/>
      <c r="AR26" s="505"/>
      <c r="AS26" s="505"/>
      <c r="AT26" s="507"/>
      <c r="AU26" s="693">
        <f>'[2]3rd Trimester Progress(Pradesh '!AB26</f>
        <v>24.36</v>
      </c>
      <c r="AV26" s="693">
        <f t="shared" si="9"/>
        <v>30.509370000000004</v>
      </c>
      <c r="AW26" s="263"/>
      <c r="AX26" s="263"/>
      <c r="AY26" s="263"/>
      <c r="AZ26" s="263"/>
      <c r="BA26" s="263"/>
      <c r="BB26" s="263"/>
      <c r="BC26" s="263"/>
      <c r="BD26" s="263"/>
    </row>
    <row r="27" spans="1:56" ht="24">
      <c r="A27" s="488" t="s">
        <v>1001</v>
      </c>
      <c r="B27" s="486" t="s">
        <v>868</v>
      </c>
      <c r="C27" s="532" t="s">
        <v>1174</v>
      </c>
      <c r="D27" s="532"/>
      <c r="E27" s="284"/>
      <c r="F27" s="284"/>
      <c r="G27" s="284"/>
      <c r="H27" s="284"/>
      <c r="I27" s="284"/>
      <c r="J27" s="504">
        <v>1</v>
      </c>
      <c r="K27" s="504">
        <f t="shared" si="0"/>
        <v>2.2139458911624197</v>
      </c>
      <c r="L27" s="504">
        <v>45</v>
      </c>
      <c r="M27" s="504">
        <f t="shared" si="3"/>
        <v>45</v>
      </c>
      <c r="N27" s="504">
        <v>1</v>
      </c>
      <c r="O27" s="504">
        <f t="shared" si="1"/>
        <v>1.2914684365114115</v>
      </c>
      <c r="P27" s="504">
        <v>26.25</v>
      </c>
      <c r="Q27" s="504">
        <v>1</v>
      </c>
      <c r="R27" s="504">
        <f t="shared" si="10"/>
        <v>1.2914684365114115</v>
      </c>
      <c r="S27" s="504">
        <f t="shared" si="4"/>
        <v>100</v>
      </c>
      <c r="T27" s="504">
        <v>17.246350000000003</v>
      </c>
      <c r="U27" s="504">
        <f t="shared" si="5"/>
        <v>65.700380952380968</v>
      </c>
      <c r="V27" s="504">
        <f t="shared" si="6"/>
        <v>1</v>
      </c>
      <c r="W27" s="504">
        <f t="shared" si="2"/>
        <v>2.2139458911624197</v>
      </c>
      <c r="X27" s="504">
        <f t="shared" si="7"/>
        <v>45</v>
      </c>
      <c r="Y27" s="504">
        <v>1</v>
      </c>
      <c r="Z27" s="504">
        <f t="shared" si="11"/>
        <v>2.2139458911624197</v>
      </c>
      <c r="AA27" s="504">
        <f t="shared" si="12"/>
        <v>100</v>
      </c>
      <c r="AB27" s="504">
        <v>42.126350000000002</v>
      </c>
      <c r="AC27" s="504">
        <f t="shared" si="8"/>
        <v>93.614111111111114</v>
      </c>
      <c r="AD27" s="505"/>
      <c r="AE27" s="505"/>
      <c r="AF27" s="505"/>
      <c r="AG27" s="505"/>
      <c r="AH27" s="505"/>
      <c r="AI27" s="505"/>
      <c r="AJ27" s="505"/>
      <c r="AK27" s="505"/>
      <c r="AL27" s="505"/>
      <c r="AM27" s="505"/>
      <c r="AN27" s="505"/>
      <c r="AO27" s="505"/>
      <c r="AP27" s="505"/>
      <c r="AQ27" s="505"/>
      <c r="AR27" s="505"/>
      <c r="AS27" s="505"/>
      <c r="AT27" s="507"/>
      <c r="AU27" s="693">
        <f>'[2]3rd Trimester Progress(Pradesh '!AB27</f>
        <v>24.88</v>
      </c>
      <c r="AV27" s="693">
        <f t="shared" si="9"/>
        <v>17.246350000000003</v>
      </c>
      <c r="AW27" s="263"/>
      <c r="AX27" s="263"/>
      <c r="AY27" s="263"/>
      <c r="AZ27" s="263"/>
      <c r="BA27" s="263"/>
      <c r="BB27" s="263"/>
      <c r="BC27" s="263"/>
      <c r="BD27" s="263"/>
    </row>
    <row r="28" spans="1:56" ht="24">
      <c r="A28" s="487" t="s">
        <v>1002</v>
      </c>
      <c r="B28" s="486" t="s">
        <v>869</v>
      </c>
      <c r="C28" s="532" t="s">
        <v>1174</v>
      </c>
      <c r="D28" s="532"/>
      <c r="E28" s="284"/>
      <c r="F28" s="284"/>
      <c r="G28" s="284"/>
      <c r="H28" s="284"/>
      <c r="I28" s="284"/>
      <c r="J28" s="504">
        <v>1</v>
      </c>
      <c r="K28" s="504">
        <f t="shared" si="0"/>
        <v>0.98397595162774221</v>
      </c>
      <c r="L28" s="504">
        <v>20</v>
      </c>
      <c r="M28" s="504">
        <f t="shared" si="3"/>
        <v>20</v>
      </c>
      <c r="N28" s="504">
        <v>1</v>
      </c>
      <c r="O28" s="504">
        <f t="shared" si="1"/>
        <v>0.24599398790693555</v>
      </c>
      <c r="P28" s="504">
        <v>5</v>
      </c>
      <c r="Q28" s="504">
        <v>0.35</v>
      </c>
      <c r="R28" s="504">
        <f t="shared" si="10"/>
        <v>8.6097895767427435E-2</v>
      </c>
      <c r="S28" s="504">
        <f t="shared" si="4"/>
        <v>35</v>
      </c>
      <c r="T28" s="504">
        <v>7.153830000000001</v>
      </c>
      <c r="U28" s="504">
        <f t="shared" si="5"/>
        <v>143.07660000000001</v>
      </c>
      <c r="V28" s="504">
        <f t="shared" si="6"/>
        <v>1</v>
      </c>
      <c r="W28" s="504">
        <f t="shared" si="2"/>
        <v>0.98397595162774221</v>
      </c>
      <c r="X28" s="504">
        <f t="shared" si="7"/>
        <v>20</v>
      </c>
      <c r="Y28" s="504">
        <v>1</v>
      </c>
      <c r="Z28" s="504">
        <f t="shared" si="11"/>
        <v>0.98397595162774221</v>
      </c>
      <c r="AA28" s="504">
        <f t="shared" si="12"/>
        <v>100</v>
      </c>
      <c r="AB28" s="504">
        <v>19.93383</v>
      </c>
      <c r="AC28" s="504">
        <f t="shared" si="8"/>
        <v>99.669150000000002</v>
      </c>
      <c r="AD28" s="505"/>
      <c r="AE28" s="505"/>
      <c r="AF28" s="505"/>
      <c r="AG28" s="505"/>
      <c r="AH28" s="505"/>
      <c r="AI28" s="505"/>
      <c r="AJ28" s="505"/>
      <c r="AK28" s="505"/>
      <c r="AL28" s="505"/>
      <c r="AM28" s="505"/>
      <c r="AN28" s="505"/>
      <c r="AO28" s="505"/>
      <c r="AP28" s="505"/>
      <c r="AQ28" s="505"/>
      <c r="AR28" s="505"/>
      <c r="AS28" s="505"/>
      <c r="AT28" s="507"/>
      <c r="AU28" s="693">
        <f>'[2]3rd Trimester Progress(Pradesh '!AB28</f>
        <v>12.78</v>
      </c>
      <c r="AV28" s="693">
        <f t="shared" si="9"/>
        <v>7.153830000000001</v>
      </c>
      <c r="AW28" s="263"/>
      <c r="AX28" s="263"/>
      <c r="AY28" s="263"/>
      <c r="AZ28" s="263"/>
      <c r="BA28" s="263"/>
      <c r="BB28" s="263"/>
      <c r="BC28" s="263"/>
      <c r="BD28" s="263"/>
    </row>
    <row r="29" spans="1:56" ht="24">
      <c r="A29" s="487" t="s">
        <v>1003</v>
      </c>
      <c r="B29" s="486" t="s">
        <v>870</v>
      </c>
      <c r="C29" s="532" t="s">
        <v>1174</v>
      </c>
      <c r="D29" s="532"/>
      <c r="E29" s="284"/>
      <c r="F29" s="284"/>
      <c r="G29" s="284"/>
      <c r="H29" s="284"/>
      <c r="I29" s="284"/>
      <c r="J29" s="504">
        <v>1</v>
      </c>
      <c r="K29" s="504">
        <f t="shared" si="0"/>
        <v>1.9679519032554844</v>
      </c>
      <c r="L29" s="504">
        <v>40</v>
      </c>
      <c r="M29" s="504">
        <f t="shared" si="3"/>
        <v>40</v>
      </c>
      <c r="N29" s="504">
        <v>1</v>
      </c>
      <c r="O29" s="504">
        <f t="shared" si="1"/>
        <v>1.2299699395346777</v>
      </c>
      <c r="P29" s="504">
        <v>25</v>
      </c>
      <c r="Q29" s="504">
        <v>1</v>
      </c>
      <c r="R29" s="504">
        <f t="shared" si="10"/>
        <v>1.2299699395346777</v>
      </c>
      <c r="S29" s="504">
        <f t="shared" si="4"/>
        <v>100</v>
      </c>
      <c r="T29" s="504">
        <v>16.943770000000001</v>
      </c>
      <c r="U29" s="504">
        <f t="shared" si="5"/>
        <v>67.775080000000003</v>
      </c>
      <c r="V29" s="504">
        <f t="shared" si="6"/>
        <v>1</v>
      </c>
      <c r="W29" s="504">
        <f t="shared" si="2"/>
        <v>1.9679519032554844</v>
      </c>
      <c r="X29" s="504">
        <f t="shared" si="7"/>
        <v>40</v>
      </c>
      <c r="Y29" s="504">
        <v>1</v>
      </c>
      <c r="Z29" s="504">
        <f t="shared" si="11"/>
        <v>1.9679519032554844</v>
      </c>
      <c r="AA29" s="504">
        <f t="shared" si="12"/>
        <v>100</v>
      </c>
      <c r="AB29" s="504">
        <v>36.943770000000001</v>
      </c>
      <c r="AC29" s="504">
        <f t="shared" si="8"/>
        <v>92.359425000000002</v>
      </c>
      <c r="AD29" s="505"/>
      <c r="AE29" s="505"/>
      <c r="AF29" s="505"/>
      <c r="AG29" s="505"/>
      <c r="AH29" s="505"/>
      <c r="AI29" s="505"/>
      <c r="AJ29" s="505"/>
      <c r="AK29" s="505"/>
      <c r="AL29" s="505"/>
      <c r="AM29" s="505"/>
      <c r="AN29" s="505"/>
      <c r="AO29" s="505"/>
      <c r="AP29" s="505"/>
      <c r="AQ29" s="505"/>
      <c r="AR29" s="505"/>
      <c r="AS29" s="505"/>
      <c r="AT29" s="507"/>
      <c r="AU29" s="693">
        <f>'[2]3rd Trimester Progress(Pradesh '!AB29</f>
        <v>20</v>
      </c>
      <c r="AV29" s="693">
        <f t="shared" si="9"/>
        <v>16.943770000000001</v>
      </c>
      <c r="AW29" s="263"/>
      <c r="AX29" s="263"/>
      <c r="AY29" s="263"/>
      <c r="AZ29" s="263"/>
      <c r="BA29" s="263"/>
      <c r="BB29" s="263"/>
      <c r="BC29" s="263"/>
      <c r="BD29" s="263"/>
    </row>
    <row r="30" spans="1:56" ht="24">
      <c r="A30" s="487" t="s">
        <v>1004</v>
      </c>
      <c r="B30" s="489" t="s">
        <v>871</v>
      </c>
      <c r="C30" s="532" t="s">
        <v>1174</v>
      </c>
      <c r="D30" s="532"/>
      <c r="E30" s="284"/>
      <c r="F30" s="284"/>
      <c r="G30" s="284"/>
      <c r="H30" s="284"/>
      <c r="I30" s="284"/>
      <c r="J30" s="504">
        <v>1</v>
      </c>
      <c r="K30" s="504">
        <f t="shared" si="0"/>
        <v>0.24599398790693555</v>
      </c>
      <c r="L30" s="504">
        <v>5</v>
      </c>
      <c r="M30" s="504">
        <f t="shared" si="3"/>
        <v>5</v>
      </c>
      <c r="N30" s="504">
        <v>1</v>
      </c>
      <c r="O30" s="504">
        <f t="shared" si="1"/>
        <v>6.1498496976733888E-2</v>
      </c>
      <c r="P30" s="504">
        <v>1.25</v>
      </c>
      <c r="Q30" s="504">
        <v>1</v>
      </c>
      <c r="R30" s="504">
        <f t="shared" si="10"/>
        <v>6.1498496976733888E-2</v>
      </c>
      <c r="S30" s="504">
        <f t="shared" si="4"/>
        <v>100</v>
      </c>
      <c r="T30" s="504">
        <v>4.9718799999999996</v>
      </c>
      <c r="U30" s="504">
        <f t="shared" si="5"/>
        <v>397.75039999999996</v>
      </c>
      <c r="V30" s="504">
        <f t="shared" si="6"/>
        <v>1</v>
      </c>
      <c r="W30" s="504">
        <f t="shared" si="2"/>
        <v>0.24599398790693555</v>
      </c>
      <c r="X30" s="504">
        <f t="shared" si="7"/>
        <v>5</v>
      </c>
      <c r="Y30" s="504">
        <v>1</v>
      </c>
      <c r="Z30" s="504">
        <f t="shared" si="11"/>
        <v>0.24599398790693555</v>
      </c>
      <c r="AA30" s="504">
        <f t="shared" si="12"/>
        <v>100</v>
      </c>
      <c r="AB30" s="504">
        <v>4.9718799999999996</v>
      </c>
      <c r="AC30" s="504">
        <f t="shared" si="8"/>
        <v>99.437599999999989</v>
      </c>
      <c r="AD30" s="505"/>
      <c r="AE30" s="505"/>
      <c r="AF30" s="505"/>
      <c r="AG30" s="505"/>
      <c r="AH30" s="505"/>
      <c r="AI30" s="505"/>
      <c r="AJ30" s="505"/>
      <c r="AK30" s="505"/>
      <c r="AL30" s="505"/>
      <c r="AM30" s="505"/>
      <c r="AN30" s="505"/>
      <c r="AO30" s="505"/>
      <c r="AP30" s="505"/>
      <c r="AQ30" s="505"/>
      <c r="AR30" s="505"/>
      <c r="AS30" s="505"/>
      <c r="AT30" s="507"/>
      <c r="AU30" s="693">
        <f>'[2]3rd Trimester Progress(Pradesh '!AB30</f>
        <v>0</v>
      </c>
      <c r="AV30" s="693">
        <f t="shared" si="9"/>
        <v>4.9718799999999996</v>
      </c>
      <c r="AW30" s="263"/>
      <c r="AX30" s="263"/>
      <c r="AY30" s="263"/>
      <c r="AZ30" s="263"/>
      <c r="BA30" s="263"/>
      <c r="BB30" s="263"/>
      <c r="BC30" s="263"/>
      <c r="BD30" s="263"/>
    </row>
    <row r="31" spans="1:56" s="306" customFormat="1" ht="24">
      <c r="A31" s="487" t="s">
        <v>1005</v>
      </c>
      <c r="B31" s="489" t="s">
        <v>872</v>
      </c>
      <c r="C31" s="532" t="s">
        <v>1174</v>
      </c>
      <c r="D31" s="532"/>
      <c r="E31" s="284"/>
      <c r="F31" s="284"/>
      <c r="G31" s="284"/>
      <c r="H31" s="284"/>
      <c r="I31" s="284"/>
      <c r="J31" s="504">
        <v>1</v>
      </c>
      <c r="K31" s="504">
        <f t="shared" si="0"/>
        <v>0.7379819637208066</v>
      </c>
      <c r="L31" s="506">
        <v>15</v>
      </c>
      <c r="M31" s="504">
        <f t="shared" si="3"/>
        <v>15</v>
      </c>
      <c r="N31" s="504">
        <v>1</v>
      </c>
      <c r="O31" s="504">
        <f t="shared" si="1"/>
        <v>0.18449549093020165</v>
      </c>
      <c r="P31" s="504">
        <v>3.75</v>
      </c>
      <c r="Q31" s="504">
        <v>0</v>
      </c>
      <c r="R31" s="504">
        <f t="shared" si="10"/>
        <v>0</v>
      </c>
      <c r="S31" s="504">
        <f t="shared" si="4"/>
        <v>0</v>
      </c>
      <c r="T31" s="504">
        <v>0</v>
      </c>
      <c r="U31" s="504">
        <f t="shared" si="5"/>
        <v>0</v>
      </c>
      <c r="V31" s="504">
        <f t="shared" si="6"/>
        <v>1</v>
      </c>
      <c r="W31" s="504">
        <f t="shared" si="2"/>
        <v>0.7379819637208066</v>
      </c>
      <c r="X31" s="504">
        <f t="shared" si="7"/>
        <v>15</v>
      </c>
      <c r="Y31" s="504">
        <v>1</v>
      </c>
      <c r="Z31" s="504">
        <f t="shared" si="11"/>
        <v>0.7379819637208066</v>
      </c>
      <c r="AA31" s="504">
        <f t="shared" si="12"/>
        <v>100</v>
      </c>
      <c r="AB31" s="504">
        <v>15</v>
      </c>
      <c r="AC31" s="504">
        <f t="shared" si="8"/>
        <v>100</v>
      </c>
      <c r="AD31" s="504">
        <v>5</v>
      </c>
      <c r="AE31" s="508">
        <v>0.12</v>
      </c>
      <c r="AF31" s="504">
        <v>1.5</v>
      </c>
      <c r="AG31" s="504">
        <v>5</v>
      </c>
      <c r="AH31" s="504"/>
      <c r="AI31" s="504">
        <f>AE31/AD31*AG31</f>
        <v>0.12</v>
      </c>
      <c r="AJ31" s="504"/>
      <c r="AK31" s="504"/>
      <c r="AL31" s="504"/>
      <c r="AM31" s="504"/>
      <c r="AN31" s="504"/>
      <c r="AO31" s="504"/>
      <c r="AP31" s="504">
        <v>15</v>
      </c>
      <c r="AQ31" s="504">
        <v>0.37</v>
      </c>
      <c r="AR31" s="505"/>
      <c r="AS31" s="505"/>
      <c r="AT31" s="507"/>
      <c r="AU31" s="693">
        <f>'[2]3rd Trimester Progress(Pradesh '!AB31</f>
        <v>15</v>
      </c>
      <c r="AV31" s="693">
        <f t="shared" si="9"/>
        <v>0</v>
      </c>
      <c r="AW31" s="305"/>
      <c r="AX31" s="305"/>
      <c r="AY31" s="305"/>
      <c r="AZ31" s="305"/>
      <c r="BA31" s="305"/>
      <c r="BB31" s="305"/>
      <c r="BC31" s="305"/>
      <c r="BD31" s="305"/>
    </row>
    <row r="32" spans="1:56" s="306" customFormat="1" ht="24">
      <c r="A32" s="487" t="s">
        <v>1009</v>
      </c>
      <c r="B32" s="486" t="s">
        <v>873</v>
      </c>
      <c r="C32" s="532" t="s">
        <v>1174</v>
      </c>
      <c r="D32" s="532"/>
      <c r="E32" s="284"/>
      <c r="F32" s="284"/>
      <c r="G32" s="284"/>
      <c r="H32" s="284"/>
      <c r="I32" s="284"/>
      <c r="J32" s="504">
        <v>1</v>
      </c>
      <c r="K32" s="504">
        <f t="shared" si="0"/>
        <v>0.39359038065109686</v>
      </c>
      <c r="L32" s="506">
        <v>8</v>
      </c>
      <c r="M32" s="504">
        <f t="shared" si="3"/>
        <v>8</v>
      </c>
      <c r="N32" s="504">
        <v>1</v>
      </c>
      <c r="O32" s="504">
        <f t="shared" si="1"/>
        <v>9.8397595162774215E-2</v>
      </c>
      <c r="P32" s="504">
        <v>2</v>
      </c>
      <c r="Q32" s="504">
        <v>0</v>
      </c>
      <c r="R32" s="504">
        <f t="shared" si="10"/>
        <v>0</v>
      </c>
      <c r="S32" s="504">
        <f t="shared" si="4"/>
        <v>0</v>
      </c>
      <c r="T32" s="504">
        <v>0</v>
      </c>
      <c r="U32" s="504">
        <f t="shared" si="5"/>
        <v>0</v>
      </c>
      <c r="V32" s="504">
        <f t="shared" si="6"/>
        <v>1</v>
      </c>
      <c r="W32" s="504">
        <f t="shared" si="2"/>
        <v>0.39359038065109686</v>
      </c>
      <c r="X32" s="504">
        <f t="shared" si="7"/>
        <v>8</v>
      </c>
      <c r="Y32" s="504">
        <v>1</v>
      </c>
      <c r="Z32" s="504">
        <f t="shared" ref="Z32" si="13">IF(V32=0,Y32/J32*K32,Y32/V32*W32)</f>
        <v>0.39359038065109686</v>
      </c>
      <c r="AA32" s="504">
        <f t="shared" ref="AA32" si="14">ROUND(IF(W32=0,Z32/K32*100,Z32/W32*100),2)</f>
        <v>100</v>
      </c>
      <c r="AB32" s="504">
        <v>7.97</v>
      </c>
      <c r="AC32" s="504">
        <f t="shared" si="8"/>
        <v>99.625</v>
      </c>
      <c r="AD32" s="504"/>
      <c r="AE32" s="508"/>
      <c r="AF32" s="504"/>
      <c r="AG32" s="504"/>
      <c r="AH32" s="504"/>
      <c r="AI32" s="504"/>
      <c r="AJ32" s="504"/>
      <c r="AK32" s="504"/>
      <c r="AL32" s="504"/>
      <c r="AM32" s="504"/>
      <c r="AN32" s="504"/>
      <c r="AO32" s="504"/>
      <c r="AP32" s="504"/>
      <c r="AQ32" s="504"/>
      <c r="AR32" s="505"/>
      <c r="AS32" s="505"/>
      <c r="AT32" s="507"/>
      <c r="AU32" s="693">
        <f>'[2]3rd Trimester Progress(Pradesh '!AB32</f>
        <v>7.97</v>
      </c>
      <c r="AV32" s="693">
        <f t="shared" si="9"/>
        <v>0</v>
      </c>
      <c r="AW32" s="305"/>
      <c r="AX32" s="305"/>
      <c r="AY32" s="305"/>
      <c r="AZ32" s="305"/>
      <c r="BA32" s="305"/>
      <c r="BB32" s="305"/>
      <c r="BC32" s="305"/>
      <c r="BD32" s="305"/>
    </row>
    <row r="33" spans="1:56" s="306" customFormat="1" ht="24">
      <c r="A33" s="487" t="s">
        <v>1010</v>
      </c>
      <c r="B33" s="489" t="s">
        <v>874</v>
      </c>
      <c r="C33" s="532" t="s">
        <v>1174</v>
      </c>
      <c r="D33" s="532"/>
      <c r="E33" s="284"/>
      <c r="F33" s="284"/>
      <c r="G33" s="284"/>
      <c r="H33" s="284"/>
      <c r="I33" s="284"/>
      <c r="J33" s="504">
        <v>1</v>
      </c>
      <c r="K33" s="504">
        <f t="shared" si="0"/>
        <v>1.377566332278839</v>
      </c>
      <c r="L33" s="506">
        <v>28</v>
      </c>
      <c r="M33" s="504">
        <f t="shared" si="3"/>
        <v>28</v>
      </c>
      <c r="N33" s="504">
        <v>1</v>
      </c>
      <c r="O33" s="504">
        <f t="shared" si="1"/>
        <v>1.0823735467905164</v>
      </c>
      <c r="P33" s="504">
        <v>22</v>
      </c>
      <c r="Q33" s="504">
        <v>1</v>
      </c>
      <c r="R33" s="504">
        <f t="shared" si="10"/>
        <v>1.0823735467905164</v>
      </c>
      <c r="S33" s="504">
        <f t="shared" si="4"/>
        <v>100</v>
      </c>
      <c r="T33" s="504">
        <v>26.622540000000001</v>
      </c>
      <c r="U33" s="504">
        <f t="shared" si="5"/>
        <v>121.01154545454547</v>
      </c>
      <c r="V33" s="504">
        <f t="shared" si="6"/>
        <v>1</v>
      </c>
      <c r="W33" s="504">
        <f t="shared" si="2"/>
        <v>1.377566332278839</v>
      </c>
      <c r="X33" s="504">
        <f t="shared" si="7"/>
        <v>28</v>
      </c>
      <c r="Y33" s="504">
        <v>1</v>
      </c>
      <c r="Z33" s="504">
        <f t="shared" si="11"/>
        <v>1.377566332278839</v>
      </c>
      <c r="AA33" s="504">
        <f t="shared" ref="AA33:AA38" si="15">ROUND(IF(W33=0,Z33/K33*100,Z33/W33*100),2)</f>
        <v>100</v>
      </c>
      <c r="AB33" s="504">
        <v>26.622540000000001</v>
      </c>
      <c r="AC33" s="504">
        <f t="shared" si="8"/>
        <v>95.080500000000001</v>
      </c>
      <c r="AD33" s="505">
        <v>0</v>
      </c>
      <c r="AE33" s="508">
        <v>0</v>
      </c>
      <c r="AF33" s="505">
        <v>0</v>
      </c>
      <c r="AG33" s="505">
        <v>6</v>
      </c>
      <c r="AH33" s="505"/>
      <c r="AI33" s="504">
        <f>K33/J33*AG33</f>
        <v>8.2653979936730337</v>
      </c>
      <c r="AJ33" s="504"/>
      <c r="AK33" s="504"/>
      <c r="AL33" s="504"/>
      <c r="AM33" s="504"/>
      <c r="AN33" s="504"/>
      <c r="AO33" s="504"/>
      <c r="AP33" s="504">
        <f t="shared" ref="AP33:AP34" si="16">AG33+Y33</f>
        <v>7</v>
      </c>
      <c r="AQ33" s="504">
        <v>1.48</v>
      </c>
      <c r="AR33" s="505"/>
      <c r="AS33" s="505"/>
      <c r="AT33" s="507"/>
      <c r="AU33" s="693">
        <f>'[2]3rd Trimester Progress(Pradesh '!AB33</f>
        <v>0</v>
      </c>
      <c r="AV33" s="693">
        <f t="shared" si="9"/>
        <v>26.622540000000001</v>
      </c>
      <c r="AW33" s="305"/>
      <c r="AX33" s="305"/>
      <c r="AY33" s="305"/>
      <c r="AZ33" s="305"/>
      <c r="BA33" s="305"/>
      <c r="BB33" s="305"/>
      <c r="BC33" s="305"/>
      <c r="BD33" s="305"/>
    </row>
    <row r="34" spans="1:56" s="306" customFormat="1" ht="24">
      <c r="A34" s="487" t="s">
        <v>1011</v>
      </c>
      <c r="B34" s="489" t="s">
        <v>875</v>
      </c>
      <c r="C34" s="532" t="s">
        <v>1174</v>
      </c>
      <c r="D34" s="532"/>
      <c r="E34" s="284"/>
      <c r="F34" s="284"/>
      <c r="G34" s="284"/>
      <c r="H34" s="284"/>
      <c r="I34" s="284"/>
      <c r="J34" s="504">
        <v>1</v>
      </c>
      <c r="K34" s="504">
        <f t="shared" si="0"/>
        <v>0.39359038065109686</v>
      </c>
      <c r="L34" s="506">
        <v>8</v>
      </c>
      <c r="M34" s="504">
        <f t="shared" si="3"/>
        <v>8</v>
      </c>
      <c r="N34" s="504">
        <v>1</v>
      </c>
      <c r="O34" s="504">
        <f t="shared" si="1"/>
        <v>9.8397595162774215E-2</v>
      </c>
      <c r="P34" s="504">
        <v>2</v>
      </c>
      <c r="Q34" s="504">
        <v>0</v>
      </c>
      <c r="R34" s="504">
        <f t="shared" si="10"/>
        <v>0</v>
      </c>
      <c r="S34" s="504">
        <f t="shared" si="4"/>
        <v>0</v>
      </c>
      <c r="T34" s="504">
        <v>0</v>
      </c>
      <c r="U34" s="504">
        <f t="shared" si="5"/>
        <v>0</v>
      </c>
      <c r="V34" s="504">
        <f t="shared" si="6"/>
        <v>1</v>
      </c>
      <c r="W34" s="504">
        <f t="shared" si="2"/>
        <v>0.39359038065109686</v>
      </c>
      <c r="X34" s="504">
        <f t="shared" si="7"/>
        <v>8</v>
      </c>
      <c r="Y34" s="504">
        <v>1</v>
      </c>
      <c r="Z34" s="504">
        <f t="shared" si="11"/>
        <v>0.39359038065109686</v>
      </c>
      <c r="AA34" s="504">
        <f t="shared" si="15"/>
        <v>100</v>
      </c>
      <c r="AB34" s="504">
        <v>7.98</v>
      </c>
      <c r="AC34" s="504">
        <f t="shared" si="8"/>
        <v>99.75</v>
      </c>
      <c r="AD34" s="505">
        <v>1</v>
      </c>
      <c r="AE34" s="508">
        <v>0.02</v>
      </c>
      <c r="AF34" s="505">
        <v>0.2</v>
      </c>
      <c r="AG34" s="505">
        <v>0</v>
      </c>
      <c r="AH34" s="505"/>
      <c r="AI34" s="504">
        <f t="shared" ref="AI34:AI46" si="17">AE34/AD34*AG34</f>
        <v>0</v>
      </c>
      <c r="AJ34" s="504"/>
      <c r="AK34" s="504"/>
      <c r="AL34" s="504"/>
      <c r="AM34" s="504"/>
      <c r="AN34" s="504"/>
      <c r="AO34" s="504"/>
      <c r="AP34" s="504">
        <f t="shared" si="16"/>
        <v>1</v>
      </c>
      <c r="AQ34" s="504">
        <f>K34/J34*AP34</f>
        <v>0.39359038065109686</v>
      </c>
      <c r="AR34" s="505"/>
      <c r="AS34" s="505"/>
      <c r="AT34" s="507"/>
      <c r="AU34" s="693">
        <f>'[2]3rd Trimester Progress(Pradesh '!AB34</f>
        <v>7.98</v>
      </c>
      <c r="AV34" s="693">
        <f t="shared" si="9"/>
        <v>0</v>
      </c>
      <c r="AW34" s="305"/>
      <c r="AX34" s="305"/>
      <c r="AY34" s="305"/>
      <c r="AZ34" s="305"/>
      <c r="BA34" s="305"/>
      <c r="BB34" s="305"/>
      <c r="BC34" s="305"/>
      <c r="BD34" s="305"/>
    </row>
    <row r="35" spans="1:56" s="306" customFormat="1" ht="24">
      <c r="A35" s="487" t="s">
        <v>1012</v>
      </c>
      <c r="B35" s="489" t="s">
        <v>876</v>
      </c>
      <c r="C35" s="532" t="s">
        <v>1174</v>
      </c>
      <c r="D35" s="532"/>
      <c r="E35" s="284"/>
      <c r="F35" s="284"/>
      <c r="G35" s="284"/>
      <c r="H35" s="284"/>
      <c r="I35" s="284"/>
      <c r="J35" s="504">
        <v>1</v>
      </c>
      <c r="K35" s="504">
        <f t="shared" si="0"/>
        <v>0.39359038065109686</v>
      </c>
      <c r="L35" s="506">
        <v>8</v>
      </c>
      <c r="M35" s="504">
        <f t="shared" si="3"/>
        <v>8</v>
      </c>
      <c r="N35" s="504">
        <v>1</v>
      </c>
      <c r="O35" s="504">
        <f t="shared" si="1"/>
        <v>9.8397595162774215E-2</v>
      </c>
      <c r="P35" s="504">
        <v>2</v>
      </c>
      <c r="Q35" s="504">
        <v>0</v>
      </c>
      <c r="R35" s="504">
        <f t="shared" si="10"/>
        <v>0</v>
      </c>
      <c r="S35" s="504">
        <f t="shared" si="4"/>
        <v>0</v>
      </c>
      <c r="T35" s="504">
        <v>0</v>
      </c>
      <c r="U35" s="504">
        <f t="shared" si="5"/>
        <v>0</v>
      </c>
      <c r="V35" s="504">
        <f t="shared" si="6"/>
        <v>1</v>
      </c>
      <c r="W35" s="504">
        <f t="shared" si="2"/>
        <v>0.39359038065109686</v>
      </c>
      <c r="X35" s="504">
        <f t="shared" si="7"/>
        <v>8</v>
      </c>
      <c r="Y35" s="504">
        <v>1</v>
      </c>
      <c r="Z35" s="504">
        <f t="shared" si="11"/>
        <v>0.39359038065109686</v>
      </c>
      <c r="AA35" s="504">
        <f t="shared" si="15"/>
        <v>100</v>
      </c>
      <c r="AB35" s="504">
        <v>7.98</v>
      </c>
      <c r="AC35" s="504">
        <f t="shared" si="8"/>
        <v>99.75</v>
      </c>
      <c r="AD35" s="505">
        <v>1</v>
      </c>
      <c r="AE35" s="505">
        <v>8.23</v>
      </c>
      <c r="AF35" s="505">
        <v>100</v>
      </c>
      <c r="AG35" s="505">
        <v>0</v>
      </c>
      <c r="AH35" s="505"/>
      <c r="AI35" s="505">
        <v>0</v>
      </c>
      <c r="AJ35" s="505"/>
      <c r="AK35" s="505"/>
      <c r="AL35" s="505"/>
      <c r="AM35" s="505"/>
      <c r="AN35" s="505"/>
      <c r="AO35" s="505"/>
      <c r="AP35" s="505">
        <v>0</v>
      </c>
      <c r="AQ35" s="505">
        <v>0</v>
      </c>
      <c r="AR35" s="505"/>
      <c r="AS35" s="505"/>
      <c r="AT35" s="507"/>
      <c r="AU35" s="693">
        <f>'[2]3rd Trimester Progress(Pradesh '!AB35</f>
        <v>7.98</v>
      </c>
      <c r="AV35" s="693">
        <f t="shared" si="9"/>
        <v>0</v>
      </c>
      <c r="AW35" s="305"/>
      <c r="AX35" s="305"/>
      <c r="AY35" s="305"/>
      <c r="AZ35" s="305"/>
      <c r="BA35" s="305"/>
      <c r="BB35" s="305"/>
      <c r="BC35" s="305"/>
      <c r="BD35" s="305"/>
    </row>
    <row r="36" spans="1:56" s="306" customFormat="1" ht="24">
      <c r="A36" s="487" t="s">
        <v>1013</v>
      </c>
      <c r="B36" s="489" t="s">
        <v>877</v>
      </c>
      <c r="C36" s="532" t="s">
        <v>1174</v>
      </c>
      <c r="D36" s="532"/>
      <c r="E36" s="284"/>
      <c r="F36" s="284"/>
      <c r="G36" s="284"/>
      <c r="H36" s="284"/>
      <c r="I36" s="284"/>
      <c r="J36" s="504">
        <v>1</v>
      </c>
      <c r="K36" s="504">
        <f t="shared" si="0"/>
        <v>0.39359038065109686</v>
      </c>
      <c r="L36" s="506">
        <v>8</v>
      </c>
      <c r="M36" s="504">
        <f t="shared" si="3"/>
        <v>8</v>
      </c>
      <c r="N36" s="504">
        <v>1</v>
      </c>
      <c r="O36" s="504">
        <f t="shared" si="1"/>
        <v>9.8397595162774215E-2</v>
      </c>
      <c r="P36" s="504">
        <v>2</v>
      </c>
      <c r="Q36" s="504">
        <v>0</v>
      </c>
      <c r="R36" s="504">
        <f t="shared" si="10"/>
        <v>0</v>
      </c>
      <c r="S36" s="504">
        <f t="shared" si="4"/>
        <v>0</v>
      </c>
      <c r="T36" s="504">
        <v>0</v>
      </c>
      <c r="U36" s="504">
        <f t="shared" si="5"/>
        <v>0</v>
      </c>
      <c r="V36" s="504">
        <f t="shared" si="6"/>
        <v>1</v>
      </c>
      <c r="W36" s="504">
        <f t="shared" si="2"/>
        <v>0.39359038065109686</v>
      </c>
      <c r="X36" s="504">
        <f t="shared" si="7"/>
        <v>8</v>
      </c>
      <c r="Y36" s="504">
        <v>1</v>
      </c>
      <c r="Z36" s="504">
        <f t="shared" si="11"/>
        <v>0.39359038065109686</v>
      </c>
      <c r="AA36" s="504">
        <f t="shared" si="15"/>
        <v>100</v>
      </c>
      <c r="AB36" s="504">
        <v>7.98</v>
      </c>
      <c r="AC36" s="504">
        <f t="shared" si="8"/>
        <v>99.75</v>
      </c>
      <c r="AD36" s="505">
        <v>0</v>
      </c>
      <c r="AE36" s="505">
        <v>0</v>
      </c>
      <c r="AF36" s="505">
        <v>0</v>
      </c>
      <c r="AG36" s="505">
        <v>0</v>
      </c>
      <c r="AH36" s="505"/>
      <c r="AI36" s="505">
        <v>0</v>
      </c>
      <c r="AJ36" s="505"/>
      <c r="AK36" s="505"/>
      <c r="AL36" s="505"/>
      <c r="AM36" s="505"/>
      <c r="AN36" s="505"/>
      <c r="AO36" s="505"/>
      <c r="AP36" s="505">
        <v>0</v>
      </c>
      <c r="AQ36" s="505">
        <v>0</v>
      </c>
      <c r="AR36" s="505"/>
      <c r="AS36" s="505"/>
      <c r="AT36" s="507"/>
      <c r="AU36" s="693">
        <f>'[2]3rd Trimester Progress(Pradesh '!AB36</f>
        <v>7.98</v>
      </c>
      <c r="AV36" s="693">
        <f t="shared" si="9"/>
        <v>0</v>
      </c>
      <c r="AW36" s="305"/>
      <c r="AX36" s="305"/>
      <c r="AY36" s="305"/>
      <c r="AZ36" s="305"/>
      <c r="BA36" s="305"/>
      <c r="BB36" s="305"/>
      <c r="BC36" s="305"/>
      <c r="BD36" s="305"/>
    </row>
    <row r="37" spans="1:56" s="306" customFormat="1" ht="24">
      <c r="A37" s="487" t="s">
        <v>1014</v>
      </c>
      <c r="B37" s="489" t="s">
        <v>1237</v>
      </c>
      <c r="C37" s="532" t="s">
        <v>1174</v>
      </c>
      <c r="D37" s="532"/>
      <c r="E37" s="284"/>
      <c r="F37" s="284"/>
      <c r="G37" s="284"/>
      <c r="H37" s="284"/>
      <c r="I37" s="284"/>
      <c r="J37" s="504">
        <v>1</v>
      </c>
      <c r="K37" s="504">
        <f t="shared" si="0"/>
        <v>0.4919879758138711</v>
      </c>
      <c r="L37" s="506">
        <v>10</v>
      </c>
      <c r="M37" s="504">
        <f t="shared" si="3"/>
        <v>10</v>
      </c>
      <c r="N37" s="504">
        <v>1</v>
      </c>
      <c r="O37" s="504">
        <f t="shared" si="1"/>
        <v>0.12299699395346778</v>
      </c>
      <c r="P37" s="504">
        <v>2.5</v>
      </c>
      <c r="Q37" s="504">
        <v>1</v>
      </c>
      <c r="R37" s="504">
        <f t="shared" si="10"/>
        <v>0.12299699395346778</v>
      </c>
      <c r="S37" s="504">
        <f t="shared" si="4"/>
        <v>100</v>
      </c>
      <c r="T37" s="504">
        <v>9.9164200000000005</v>
      </c>
      <c r="U37" s="504">
        <f t="shared" si="5"/>
        <v>396.65680000000003</v>
      </c>
      <c r="V37" s="504">
        <f t="shared" si="6"/>
        <v>1</v>
      </c>
      <c r="W37" s="504">
        <f t="shared" si="2"/>
        <v>0.4919879758138711</v>
      </c>
      <c r="X37" s="504">
        <f t="shared" si="7"/>
        <v>10</v>
      </c>
      <c r="Y37" s="504">
        <v>1</v>
      </c>
      <c r="Z37" s="504">
        <f t="shared" si="11"/>
        <v>0.4919879758138711</v>
      </c>
      <c r="AA37" s="504">
        <f t="shared" si="15"/>
        <v>100</v>
      </c>
      <c r="AB37" s="504">
        <v>9.9164200000000005</v>
      </c>
      <c r="AC37" s="504">
        <f t="shared" si="8"/>
        <v>99.164200000000008</v>
      </c>
      <c r="AD37" s="504">
        <v>0.2</v>
      </c>
      <c r="AE37" s="508">
        <v>1.65</v>
      </c>
      <c r="AF37" s="504">
        <v>20</v>
      </c>
      <c r="AG37" s="504">
        <f>AD37</f>
        <v>0.2</v>
      </c>
      <c r="AH37" s="504"/>
      <c r="AI37" s="504">
        <v>1.65</v>
      </c>
      <c r="AJ37" s="504"/>
      <c r="AK37" s="504"/>
      <c r="AL37" s="504"/>
      <c r="AM37" s="504"/>
      <c r="AN37" s="504"/>
      <c r="AO37" s="504"/>
      <c r="AP37" s="504">
        <v>1</v>
      </c>
      <c r="AQ37" s="504">
        <f>K37/J37*AP37</f>
        <v>0.4919879758138711</v>
      </c>
      <c r="AR37" s="505"/>
      <c r="AS37" s="505"/>
      <c r="AT37" s="507"/>
      <c r="AU37" s="693">
        <f>'[2]3rd Trimester Progress(Pradesh '!AB37</f>
        <v>0</v>
      </c>
      <c r="AV37" s="693">
        <f t="shared" si="9"/>
        <v>9.9164200000000005</v>
      </c>
      <c r="AW37" s="305"/>
      <c r="AX37" s="305"/>
      <c r="AY37" s="305"/>
      <c r="AZ37" s="305"/>
      <c r="BA37" s="305"/>
      <c r="BB37" s="305"/>
      <c r="BC37" s="305"/>
      <c r="BD37" s="305"/>
    </row>
    <row r="38" spans="1:56" s="306" customFormat="1" ht="24">
      <c r="A38" s="487" t="s">
        <v>1015</v>
      </c>
      <c r="B38" s="489" t="s">
        <v>879</v>
      </c>
      <c r="C38" s="532" t="s">
        <v>1174</v>
      </c>
      <c r="D38" s="532"/>
      <c r="E38" s="284"/>
      <c r="F38" s="284"/>
      <c r="G38" s="284"/>
      <c r="H38" s="284"/>
      <c r="I38" s="284"/>
      <c r="J38" s="504">
        <v>1</v>
      </c>
      <c r="K38" s="504">
        <f t="shared" si="0"/>
        <v>0.24599398790693555</v>
      </c>
      <c r="L38" s="506">
        <v>5</v>
      </c>
      <c r="M38" s="504">
        <f t="shared" si="3"/>
        <v>5</v>
      </c>
      <c r="N38" s="504">
        <v>1</v>
      </c>
      <c r="O38" s="504">
        <f t="shared" si="1"/>
        <v>6.1498496976733888E-2</v>
      </c>
      <c r="P38" s="504">
        <v>1.25</v>
      </c>
      <c r="Q38" s="504">
        <v>1</v>
      </c>
      <c r="R38" s="504">
        <f t="shared" si="10"/>
        <v>6.1498496976733888E-2</v>
      </c>
      <c r="S38" s="504">
        <f t="shared" si="4"/>
        <v>100</v>
      </c>
      <c r="T38" s="504">
        <v>4.9659500000000003</v>
      </c>
      <c r="U38" s="504">
        <f t="shared" si="5"/>
        <v>397.27600000000001</v>
      </c>
      <c r="V38" s="504">
        <f t="shared" si="6"/>
        <v>1</v>
      </c>
      <c r="W38" s="504">
        <f t="shared" si="2"/>
        <v>0.24599398790693555</v>
      </c>
      <c r="X38" s="504">
        <f t="shared" si="7"/>
        <v>5</v>
      </c>
      <c r="Y38" s="504">
        <v>1</v>
      </c>
      <c r="Z38" s="504">
        <f t="shared" si="11"/>
        <v>0.24599398790693555</v>
      </c>
      <c r="AA38" s="504">
        <f t="shared" si="15"/>
        <v>100</v>
      </c>
      <c r="AB38" s="504">
        <v>4.9659500000000003</v>
      </c>
      <c r="AC38" s="504">
        <f t="shared" si="8"/>
        <v>99.319000000000003</v>
      </c>
      <c r="AD38" s="504"/>
      <c r="AE38" s="508"/>
      <c r="AF38" s="504"/>
      <c r="AG38" s="504"/>
      <c r="AH38" s="504"/>
      <c r="AI38" s="504"/>
      <c r="AJ38" s="504"/>
      <c r="AK38" s="504"/>
      <c r="AL38" s="504"/>
      <c r="AM38" s="504"/>
      <c r="AN38" s="504"/>
      <c r="AO38" s="504"/>
      <c r="AP38" s="504"/>
      <c r="AQ38" s="504"/>
      <c r="AR38" s="505"/>
      <c r="AS38" s="505"/>
      <c r="AT38" s="507"/>
      <c r="AU38" s="693">
        <f>'[2]3rd Trimester Progress(Pradesh '!AB38</f>
        <v>0</v>
      </c>
      <c r="AV38" s="693">
        <f t="shared" si="9"/>
        <v>4.9659500000000003</v>
      </c>
      <c r="AW38" s="305"/>
      <c r="AX38" s="305"/>
      <c r="AY38" s="305"/>
      <c r="AZ38" s="305"/>
      <c r="BA38" s="305"/>
      <c r="BB38" s="305"/>
      <c r="BC38" s="305"/>
      <c r="BD38" s="305"/>
    </row>
    <row r="39" spans="1:56" s="306" customFormat="1" ht="24">
      <c r="A39" s="487" t="s">
        <v>1016</v>
      </c>
      <c r="B39" s="492" t="s">
        <v>880</v>
      </c>
      <c r="C39" s="532" t="s">
        <v>1174</v>
      </c>
      <c r="D39" s="532"/>
      <c r="E39" s="284"/>
      <c r="F39" s="284"/>
      <c r="G39" s="284"/>
      <c r="H39" s="284"/>
      <c r="I39" s="284"/>
      <c r="J39" s="504">
        <v>1</v>
      </c>
      <c r="K39" s="504">
        <f t="shared" si="0"/>
        <v>0.39359038065109686</v>
      </c>
      <c r="L39" s="506">
        <v>8</v>
      </c>
      <c r="M39" s="504">
        <f t="shared" si="3"/>
        <v>8</v>
      </c>
      <c r="N39" s="504">
        <v>1</v>
      </c>
      <c r="O39" s="504">
        <f t="shared" si="1"/>
        <v>9.8397595162774215E-2</v>
      </c>
      <c r="P39" s="504">
        <v>2</v>
      </c>
      <c r="Q39" s="504">
        <v>0</v>
      </c>
      <c r="R39" s="504">
        <f t="shared" si="10"/>
        <v>0</v>
      </c>
      <c r="S39" s="504">
        <f t="shared" si="4"/>
        <v>0</v>
      </c>
      <c r="T39" s="504">
        <v>2.8420000000000556E-2</v>
      </c>
      <c r="U39" s="504">
        <f t="shared" si="5"/>
        <v>1.4210000000000278</v>
      </c>
      <c r="V39" s="504">
        <f t="shared" si="6"/>
        <v>1</v>
      </c>
      <c r="W39" s="504">
        <f t="shared" si="2"/>
        <v>0.39359038065109686</v>
      </c>
      <c r="X39" s="504">
        <f t="shared" si="7"/>
        <v>8</v>
      </c>
      <c r="Y39" s="504">
        <v>1</v>
      </c>
      <c r="Z39" s="504">
        <f t="shared" si="11"/>
        <v>0.39359038065109686</v>
      </c>
      <c r="AA39" s="504">
        <f t="shared" ref="AA39:AA42" si="18">ROUND(IF(W39=0,Z39/K39*100,Z39/W39*100),2)</f>
        <v>100</v>
      </c>
      <c r="AB39" s="649">
        <v>7.9984200000000003</v>
      </c>
      <c r="AC39" s="504">
        <f t="shared" si="8"/>
        <v>99.980249999999998</v>
      </c>
      <c r="AD39" s="504"/>
      <c r="AE39" s="508"/>
      <c r="AF39" s="504"/>
      <c r="AG39" s="504"/>
      <c r="AH39" s="504"/>
      <c r="AI39" s="504"/>
      <c r="AJ39" s="504"/>
      <c r="AK39" s="504"/>
      <c r="AL39" s="504"/>
      <c r="AM39" s="504"/>
      <c r="AN39" s="504"/>
      <c r="AO39" s="504"/>
      <c r="AP39" s="504"/>
      <c r="AQ39" s="504"/>
      <c r="AR39" s="505"/>
      <c r="AS39" s="505"/>
      <c r="AT39" s="507"/>
      <c r="AU39" s="693">
        <f>'[2]3rd Trimester Progress(Pradesh '!AB39</f>
        <v>7.97</v>
      </c>
      <c r="AV39" s="693">
        <f t="shared" si="9"/>
        <v>2.8420000000000556E-2</v>
      </c>
      <c r="AW39" s="305"/>
      <c r="AX39" s="305"/>
      <c r="AY39" s="305"/>
      <c r="AZ39" s="305"/>
      <c r="BA39" s="305"/>
      <c r="BB39" s="305"/>
      <c r="BC39" s="305"/>
      <c r="BD39" s="305"/>
    </row>
    <row r="40" spans="1:56" s="306" customFormat="1" ht="24">
      <c r="A40" s="487" t="s">
        <v>1017</v>
      </c>
      <c r="B40" s="492" t="s">
        <v>881</v>
      </c>
      <c r="C40" s="532" t="s">
        <v>1174</v>
      </c>
      <c r="D40" s="532"/>
      <c r="E40" s="284"/>
      <c r="F40" s="284"/>
      <c r="G40" s="284"/>
      <c r="H40" s="284"/>
      <c r="I40" s="284"/>
      <c r="J40" s="504">
        <v>1</v>
      </c>
      <c r="K40" s="504">
        <f t="shared" si="0"/>
        <v>0.4919879758138711</v>
      </c>
      <c r="L40" s="506">
        <v>10</v>
      </c>
      <c r="M40" s="504">
        <f t="shared" si="3"/>
        <v>10</v>
      </c>
      <c r="N40" s="504">
        <v>1</v>
      </c>
      <c r="O40" s="504">
        <f t="shared" si="1"/>
        <v>0.12299699395346778</v>
      </c>
      <c r="P40" s="504">
        <v>2.5</v>
      </c>
      <c r="Q40" s="504">
        <v>0</v>
      </c>
      <c r="R40" s="504">
        <f t="shared" si="10"/>
        <v>0</v>
      </c>
      <c r="S40" s="504">
        <f t="shared" si="4"/>
        <v>0</v>
      </c>
      <c r="T40" s="504">
        <v>0</v>
      </c>
      <c r="U40" s="504">
        <f t="shared" si="5"/>
        <v>0</v>
      </c>
      <c r="V40" s="504">
        <f t="shared" si="6"/>
        <v>1</v>
      </c>
      <c r="W40" s="504">
        <f t="shared" si="2"/>
        <v>0.4919879758138711</v>
      </c>
      <c r="X40" s="504">
        <f t="shared" si="7"/>
        <v>10</v>
      </c>
      <c r="Y40" s="504">
        <v>1</v>
      </c>
      <c r="Z40" s="504">
        <f t="shared" si="11"/>
        <v>0.4919879758138711</v>
      </c>
      <c r="AA40" s="504">
        <f t="shared" si="18"/>
        <v>100</v>
      </c>
      <c r="AB40" s="504">
        <v>9.99</v>
      </c>
      <c r="AC40" s="504">
        <f t="shared" si="8"/>
        <v>99.9</v>
      </c>
      <c r="AD40" s="504"/>
      <c r="AE40" s="508"/>
      <c r="AF40" s="504"/>
      <c r="AG40" s="504"/>
      <c r="AH40" s="504"/>
      <c r="AI40" s="504"/>
      <c r="AJ40" s="504"/>
      <c r="AK40" s="504"/>
      <c r="AL40" s="504"/>
      <c r="AM40" s="504"/>
      <c r="AN40" s="504"/>
      <c r="AO40" s="504"/>
      <c r="AP40" s="504"/>
      <c r="AQ40" s="504"/>
      <c r="AR40" s="505"/>
      <c r="AS40" s="505"/>
      <c r="AT40" s="507"/>
      <c r="AU40" s="693">
        <f>'[2]3rd Trimester Progress(Pradesh '!AB40</f>
        <v>9.99</v>
      </c>
      <c r="AV40" s="693">
        <f t="shared" si="9"/>
        <v>0</v>
      </c>
      <c r="AW40" s="305"/>
      <c r="AX40" s="305"/>
      <c r="AY40" s="305"/>
      <c r="AZ40" s="305"/>
      <c r="BA40" s="305"/>
      <c r="BB40" s="305"/>
      <c r="BC40" s="305"/>
      <c r="BD40" s="305"/>
    </row>
    <row r="41" spans="1:56" s="306" customFormat="1" ht="24">
      <c r="A41" s="487" t="s">
        <v>1018</v>
      </c>
      <c r="B41" s="492" t="s">
        <v>882</v>
      </c>
      <c r="C41" s="532" t="s">
        <v>1174</v>
      </c>
      <c r="D41" s="532"/>
      <c r="E41" s="284"/>
      <c r="F41" s="284"/>
      <c r="G41" s="284"/>
      <c r="H41" s="284"/>
      <c r="I41" s="284"/>
      <c r="J41" s="504">
        <v>1</v>
      </c>
      <c r="K41" s="504">
        <f t="shared" si="0"/>
        <v>0.24599398790693555</v>
      </c>
      <c r="L41" s="506">
        <v>5</v>
      </c>
      <c r="M41" s="504">
        <f t="shared" si="3"/>
        <v>5</v>
      </c>
      <c r="N41" s="504">
        <v>1</v>
      </c>
      <c r="O41" s="504">
        <f t="shared" si="1"/>
        <v>6.1498496976733888E-2</v>
      </c>
      <c r="P41" s="504">
        <v>1.25</v>
      </c>
      <c r="Q41" s="504">
        <v>0</v>
      </c>
      <c r="R41" s="504">
        <f t="shared" si="10"/>
        <v>0</v>
      </c>
      <c r="S41" s="504">
        <f t="shared" si="4"/>
        <v>0</v>
      </c>
      <c r="T41" s="504">
        <v>3.7300000000000111E-3</v>
      </c>
      <c r="U41" s="504">
        <f t="shared" si="5"/>
        <v>0.29840000000000089</v>
      </c>
      <c r="V41" s="504">
        <f t="shared" si="6"/>
        <v>1</v>
      </c>
      <c r="W41" s="504">
        <f t="shared" si="2"/>
        <v>0.24599398790693555</v>
      </c>
      <c r="X41" s="504">
        <f t="shared" si="7"/>
        <v>5</v>
      </c>
      <c r="Y41" s="504">
        <v>1</v>
      </c>
      <c r="Z41" s="504">
        <f t="shared" si="11"/>
        <v>0.24599398790693555</v>
      </c>
      <c r="AA41" s="504">
        <f t="shared" si="18"/>
        <v>100</v>
      </c>
      <c r="AB41" s="504">
        <v>4.8937299999999997</v>
      </c>
      <c r="AC41" s="504">
        <f t="shared" si="8"/>
        <v>97.874599999999987</v>
      </c>
      <c r="AD41" s="504"/>
      <c r="AE41" s="508"/>
      <c r="AF41" s="504"/>
      <c r="AG41" s="504"/>
      <c r="AH41" s="504"/>
      <c r="AI41" s="504"/>
      <c r="AJ41" s="504"/>
      <c r="AK41" s="504"/>
      <c r="AL41" s="504"/>
      <c r="AM41" s="504"/>
      <c r="AN41" s="504"/>
      <c r="AO41" s="504"/>
      <c r="AP41" s="504"/>
      <c r="AQ41" s="504"/>
      <c r="AR41" s="505"/>
      <c r="AS41" s="505"/>
      <c r="AT41" s="507"/>
      <c r="AU41" s="693">
        <v>4.8899999999999997</v>
      </c>
      <c r="AV41" s="693">
        <f t="shared" si="9"/>
        <v>3.7300000000000111E-3</v>
      </c>
      <c r="AW41" s="305"/>
      <c r="AX41" s="305"/>
      <c r="AY41" s="305"/>
      <c r="AZ41" s="305"/>
      <c r="BA41" s="305"/>
      <c r="BB41" s="305"/>
      <c r="BC41" s="305"/>
      <c r="BD41" s="305"/>
    </row>
    <row r="42" spans="1:56" s="306" customFormat="1" ht="24">
      <c r="A42" s="487" t="s">
        <v>1019</v>
      </c>
      <c r="B42" s="492" t="s">
        <v>883</v>
      </c>
      <c r="C42" s="532" t="s">
        <v>1174</v>
      </c>
      <c r="D42" s="532"/>
      <c r="E42" s="284"/>
      <c r="F42" s="284"/>
      <c r="G42" s="284"/>
      <c r="H42" s="284"/>
      <c r="I42" s="284"/>
      <c r="J42" s="504">
        <v>1</v>
      </c>
      <c r="K42" s="504">
        <f t="shared" si="0"/>
        <v>1.1315723443719035</v>
      </c>
      <c r="L42" s="506">
        <v>23</v>
      </c>
      <c r="M42" s="504">
        <f t="shared" si="3"/>
        <v>23</v>
      </c>
      <c r="N42" s="504">
        <v>1</v>
      </c>
      <c r="O42" s="504">
        <f t="shared" si="1"/>
        <v>0.83637955888358084</v>
      </c>
      <c r="P42" s="504">
        <v>17</v>
      </c>
      <c r="Q42" s="504">
        <v>1</v>
      </c>
      <c r="R42" s="504">
        <f t="shared" si="10"/>
        <v>0.83637955888358084</v>
      </c>
      <c r="S42" s="504">
        <f t="shared" si="4"/>
        <v>100</v>
      </c>
      <c r="T42" s="504">
        <v>13.471050000000002</v>
      </c>
      <c r="U42" s="504">
        <f t="shared" si="5"/>
        <v>79.241470588235302</v>
      </c>
      <c r="V42" s="504">
        <f t="shared" si="6"/>
        <v>1</v>
      </c>
      <c r="W42" s="504">
        <f t="shared" si="2"/>
        <v>1.1315723443719035</v>
      </c>
      <c r="X42" s="504">
        <f t="shared" si="7"/>
        <v>23</v>
      </c>
      <c r="Y42" s="504">
        <v>1</v>
      </c>
      <c r="Z42" s="504">
        <f t="shared" si="11"/>
        <v>1.1315723443719035</v>
      </c>
      <c r="AA42" s="504">
        <f t="shared" si="18"/>
        <v>100</v>
      </c>
      <c r="AB42" s="504">
        <v>21.421050000000001</v>
      </c>
      <c r="AC42" s="504">
        <f t="shared" si="8"/>
        <v>93.135000000000005</v>
      </c>
      <c r="AD42" s="504"/>
      <c r="AE42" s="508"/>
      <c r="AF42" s="504"/>
      <c r="AG42" s="504"/>
      <c r="AH42" s="504"/>
      <c r="AI42" s="504"/>
      <c r="AJ42" s="504"/>
      <c r="AK42" s="504"/>
      <c r="AL42" s="504"/>
      <c r="AM42" s="504"/>
      <c r="AN42" s="504"/>
      <c r="AO42" s="504"/>
      <c r="AP42" s="504"/>
      <c r="AQ42" s="504"/>
      <c r="AR42" s="505"/>
      <c r="AS42" s="505"/>
      <c r="AT42" s="507"/>
      <c r="AU42" s="693">
        <f>'[2]3rd Trimester Progress(Pradesh '!AB42</f>
        <v>7.95</v>
      </c>
      <c r="AV42" s="693">
        <f t="shared" si="9"/>
        <v>13.471050000000002</v>
      </c>
      <c r="AW42" s="305"/>
      <c r="AX42" s="305"/>
      <c r="AY42" s="305"/>
      <c r="AZ42" s="305"/>
      <c r="BA42" s="305"/>
      <c r="BB42" s="305"/>
      <c r="BC42" s="305"/>
      <c r="BD42" s="305"/>
    </row>
    <row r="43" spans="1:56" s="306" customFormat="1" ht="24">
      <c r="A43" s="487" t="s">
        <v>1020</v>
      </c>
      <c r="B43" s="492" t="s">
        <v>884</v>
      </c>
      <c r="C43" s="532" t="s">
        <v>1174</v>
      </c>
      <c r="D43" s="532"/>
      <c r="E43" s="284"/>
      <c r="F43" s="284"/>
      <c r="G43" s="284"/>
      <c r="H43" s="284"/>
      <c r="I43" s="284"/>
      <c r="J43" s="504">
        <v>1</v>
      </c>
      <c r="K43" s="504">
        <f t="shared" si="0"/>
        <v>0.39359038065109686</v>
      </c>
      <c r="L43" s="506">
        <v>8</v>
      </c>
      <c r="M43" s="504">
        <f t="shared" si="3"/>
        <v>8</v>
      </c>
      <c r="N43" s="504">
        <v>1</v>
      </c>
      <c r="O43" s="504">
        <f t="shared" si="1"/>
        <v>9.8397595162774215E-2</v>
      </c>
      <c r="P43" s="504">
        <v>2</v>
      </c>
      <c r="Q43" s="504">
        <v>0</v>
      </c>
      <c r="R43" s="504">
        <f t="shared" si="10"/>
        <v>0</v>
      </c>
      <c r="S43" s="504">
        <f t="shared" si="4"/>
        <v>0</v>
      </c>
      <c r="T43" s="504">
        <v>0</v>
      </c>
      <c r="U43" s="504">
        <f t="shared" si="5"/>
        <v>0</v>
      </c>
      <c r="V43" s="504">
        <f t="shared" si="6"/>
        <v>1</v>
      </c>
      <c r="W43" s="504">
        <f t="shared" si="2"/>
        <v>0.39359038065109686</v>
      </c>
      <c r="X43" s="504">
        <f t="shared" si="7"/>
        <v>8</v>
      </c>
      <c r="Y43" s="504">
        <v>1</v>
      </c>
      <c r="Z43" s="504">
        <f t="shared" si="11"/>
        <v>0.39359038065109686</v>
      </c>
      <c r="AA43" s="504">
        <f t="shared" ref="AA43:AA51" si="19">ROUND(IF(W43=0,Z43/K43*100,Z43/W43*100),2)</f>
        <v>100</v>
      </c>
      <c r="AB43" s="504">
        <v>7.91</v>
      </c>
      <c r="AC43" s="504">
        <f t="shared" si="8"/>
        <v>98.875</v>
      </c>
      <c r="AD43" s="504"/>
      <c r="AE43" s="508"/>
      <c r="AF43" s="504"/>
      <c r="AG43" s="504"/>
      <c r="AH43" s="504"/>
      <c r="AI43" s="504"/>
      <c r="AJ43" s="504"/>
      <c r="AK43" s="504"/>
      <c r="AL43" s="504"/>
      <c r="AM43" s="504"/>
      <c r="AN43" s="504"/>
      <c r="AO43" s="504"/>
      <c r="AP43" s="504"/>
      <c r="AQ43" s="504"/>
      <c r="AR43" s="505"/>
      <c r="AS43" s="505"/>
      <c r="AT43" s="507"/>
      <c r="AU43" s="693">
        <f>'[2]3rd Trimester Progress(Pradesh '!AB43</f>
        <v>7.91</v>
      </c>
      <c r="AV43" s="693">
        <f t="shared" si="9"/>
        <v>0</v>
      </c>
      <c r="AW43" s="305"/>
      <c r="AX43" s="305"/>
      <c r="AY43" s="305"/>
      <c r="AZ43" s="305"/>
      <c r="BA43" s="305"/>
      <c r="BB43" s="305"/>
      <c r="BC43" s="305"/>
      <c r="BD43" s="305"/>
    </row>
    <row r="44" spans="1:56" s="306" customFormat="1" ht="24">
      <c r="A44" s="487" t="s">
        <v>1021</v>
      </c>
      <c r="B44" s="492" t="s">
        <v>885</v>
      </c>
      <c r="C44" s="532" t="s">
        <v>1174</v>
      </c>
      <c r="D44" s="532"/>
      <c r="E44" s="284"/>
      <c r="F44" s="284"/>
      <c r="G44" s="284"/>
      <c r="H44" s="284"/>
      <c r="I44" s="284"/>
      <c r="J44" s="504">
        <v>1</v>
      </c>
      <c r="K44" s="504">
        <f t="shared" si="0"/>
        <v>0.39359038065109686</v>
      </c>
      <c r="L44" s="506">
        <v>8</v>
      </c>
      <c r="M44" s="504">
        <f t="shared" si="3"/>
        <v>8</v>
      </c>
      <c r="N44" s="504">
        <v>1</v>
      </c>
      <c r="O44" s="504">
        <f t="shared" si="1"/>
        <v>9.8397595162774215E-2</v>
      </c>
      <c r="P44" s="504">
        <v>2</v>
      </c>
      <c r="Q44" s="504">
        <v>0.75</v>
      </c>
      <c r="R44" s="504">
        <f t="shared" si="10"/>
        <v>7.3798196372080654E-2</v>
      </c>
      <c r="S44" s="504">
        <f t="shared" si="4"/>
        <v>75</v>
      </c>
      <c r="T44" s="504">
        <v>7.7084900000000003</v>
      </c>
      <c r="U44" s="504">
        <f t="shared" si="5"/>
        <v>385.42450000000002</v>
      </c>
      <c r="V44" s="504">
        <f t="shared" si="6"/>
        <v>1</v>
      </c>
      <c r="W44" s="504">
        <f t="shared" si="2"/>
        <v>0.39359038065109686</v>
      </c>
      <c r="X44" s="504">
        <f t="shared" si="7"/>
        <v>8</v>
      </c>
      <c r="Y44" s="504">
        <v>1</v>
      </c>
      <c r="Z44" s="504">
        <f t="shared" si="11"/>
        <v>0.39359038065109686</v>
      </c>
      <c r="AA44" s="504">
        <f t="shared" si="19"/>
        <v>100</v>
      </c>
      <c r="AB44" s="504">
        <v>7.7084900000000003</v>
      </c>
      <c r="AC44" s="504">
        <f t="shared" si="8"/>
        <v>96.356125000000006</v>
      </c>
      <c r="AD44" s="504"/>
      <c r="AE44" s="508"/>
      <c r="AF44" s="504"/>
      <c r="AG44" s="504"/>
      <c r="AH44" s="504"/>
      <c r="AI44" s="504"/>
      <c r="AJ44" s="504"/>
      <c r="AK44" s="504"/>
      <c r="AL44" s="504"/>
      <c r="AM44" s="504"/>
      <c r="AN44" s="504"/>
      <c r="AO44" s="504"/>
      <c r="AP44" s="504"/>
      <c r="AQ44" s="504"/>
      <c r="AR44" s="505"/>
      <c r="AS44" s="505"/>
      <c r="AT44" s="507"/>
      <c r="AU44" s="693">
        <f>'[2]3rd Trimester Progress(Pradesh '!AB44</f>
        <v>0</v>
      </c>
      <c r="AV44" s="693">
        <f t="shared" si="9"/>
        <v>7.7084900000000003</v>
      </c>
      <c r="AW44" s="305"/>
      <c r="AX44" s="305"/>
      <c r="AY44" s="305"/>
      <c r="AZ44" s="305"/>
      <c r="BA44" s="305"/>
      <c r="BB44" s="305"/>
      <c r="BC44" s="305"/>
      <c r="BD44" s="305"/>
    </row>
    <row r="45" spans="1:56" s="306" customFormat="1" ht="24">
      <c r="A45" s="487" t="s">
        <v>1022</v>
      </c>
      <c r="B45" s="492" t="s">
        <v>886</v>
      </c>
      <c r="C45" s="532" t="s">
        <v>1174</v>
      </c>
      <c r="D45" s="532"/>
      <c r="E45" s="284"/>
      <c r="F45" s="284"/>
      <c r="G45" s="284"/>
      <c r="H45" s="284"/>
      <c r="I45" s="284"/>
      <c r="J45" s="504">
        <v>1</v>
      </c>
      <c r="K45" s="504">
        <f t="shared" si="0"/>
        <v>0.39359038065109686</v>
      </c>
      <c r="L45" s="506">
        <v>8</v>
      </c>
      <c r="M45" s="504">
        <f t="shared" si="3"/>
        <v>8</v>
      </c>
      <c r="N45" s="504">
        <v>1</v>
      </c>
      <c r="O45" s="504">
        <f t="shared" si="1"/>
        <v>9.8397595162774215E-2</v>
      </c>
      <c r="P45" s="504">
        <v>2</v>
      </c>
      <c r="Q45" s="504">
        <v>0</v>
      </c>
      <c r="R45" s="504">
        <f t="shared" si="10"/>
        <v>0</v>
      </c>
      <c r="S45" s="504">
        <f t="shared" si="4"/>
        <v>0</v>
      </c>
      <c r="T45" s="504">
        <v>0</v>
      </c>
      <c r="U45" s="504">
        <f t="shared" si="5"/>
        <v>0</v>
      </c>
      <c r="V45" s="504">
        <f t="shared" si="6"/>
        <v>1</v>
      </c>
      <c r="W45" s="504">
        <f t="shared" si="2"/>
        <v>0.39359038065109686</v>
      </c>
      <c r="X45" s="504">
        <f t="shared" si="7"/>
        <v>8</v>
      </c>
      <c r="Y45" s="504">
        <v>1</v>
      </c>
      <c r="Z45" s="504">
        <f t="shared" si="11"/>
        <v>0.39359038065109686</v>
      </c>
      <c r="AA45" s="504">
        <f t="shared" si="19"/>
        <v>100</v>
      </c>
      <c r="AB45" s="504">
        <v>7.97</v>
      </c>
      <c r="AC45" s="504">
        <f t="shared" si="8"/>
        <v>99.625</v>
      </c>
      <c r="AD45" s="504">
        <v>0.34</v>
      </c>
      <c r="AE45" s="508">
        <v>0.82</v>
      </c>
      <c r="AF45" s="504">
        <v>10</v>
      </c>
      <c r="AG45" s="504">
        <f t="shared" ref="AG45:AG46" si="20">AD45</f>
        <v>0.34</v>
      </c>
      <c r="AH45" s="504"/>
      <c r="AI45" s="504">
        <v>0.34</v>
      </c>
      <c r="AJ45" s="504"/>
      <c r="AK45" s="504"/>
      <c r="AL45" s="504"/>
      <c r="AM45" s="504"/>
      <c r="AN45" s="504"/>
      <c r="AO45" s="504"/>
      <c r="AP45" s="504">
        <v>1</v>
      </c>
      <c r="AQ45" s="504">
        <f>K45/J45*AP45</f>
        <v>0.39359038065109686</v>
      </c>
      <c r="AR45" s="505"/>
      <c r="AS45" s="505"/>
      <c r="AT45" s="507"/>
      <c r="AU45" s="693">
        <f>'[2]3rd Trimester Progress(Pradesh '!AB45</f>
        <v>7.97</v>
      </c>
      <c r="AV45" s="693">
        <f t="shared" si="9"/>
        <v>0</v>
      </c>
      <c r="AW45" s="305"/>
      <c r="AX45" s="305"/>
      <c r="AY45" s="305"/>
      <c r="AZ45" s="305"/>
      <c r="BA45" s="305"/>
      <c r="BB45" s="305"/>
      <c r="BC45" s="305"/>
      <c r="BD45" s="305"/>
    </row>
    <row r="46" spans="1:56" s="306" customFormat="1" ht="24">
      <c r="A46" s="487" t="s">
        <v>1023</v>
      </c>
      <c r="B46" s="486" t="s">
        <v>887</v>
      </c>
      <c r="C46" s="532" t="s">
        <v>1174</v>
      </c>
      <c r="D46" s="532"/>
      <c r="E46" s="284"/>
      <c r="F46" s="284"/>
      <c r="G46" s="284"/>
      <c r="H46" s="284"/>
      <c r="I46" s="284"/>
      <c r="J46" s="504">
        <v>1</v>
      </c>
      <c r="K46" s="504">
        <f t="shared" si="0"/>
        <v>0.24599398790693555</v>
      </c>
      <c r="L46" s="506">
        <v>5</v>
      </c>
      <c r="M46" s="504">
        <f t="shared" si="3"/>
        <v>5</v>
      </c>
      <c r="N46" s="504">
        <v>1</v>
      </c>
      <c r="O46" s="504">
        <f t="shared" si="1"/>
        <v>6.1498496976733888E-2</v>
      </c>
      <c r="P46" s="504">
        <v>1.25</v>
      </c>
      <c r="Q46" s="504">
        <v>0</v>
      </c>
      <c r="R46" s="504">
        <f t="shared" si="10"/>
        <v>0</v>
      </c>
      <c r="S46" s="504">
        <f t="shared" si="4"/>
        <v>0</v>
      </c>
      <c r="T46" s="504">
        <v>0</v>
      </c>
      <c r="U46" s="504">
        <f t="shared" si="5"/>
        <v>0</v>
      </c>
      <c r="V46" s="504">
        <f t="shared" si="6"/>
        <v>1</v>
      </c>
      <c r="W46" s="504">
        <f t="shared" si="2"/>
        <v>0.24599398790693555</v>
      </c>
      <c r="X46" s="504">
        <f t="shared" si="7"/>
        <v>5</v>
      </c>
      <c r="Y46" s="504">
        <v>1</v>
      </c>
      <c r="Z46" s="504">
        <f t="shared" si="11"/>
        <v>0.24599398790693555</v>
      </c>
      <c r="AA46" s="504">
        <f t="shared" si="19"/>
        <v>100</v>
      </c>
      <c r="AB46" s="504">
        <v>4.94489</v>
      </c>
      <c r="AC46" s="504">
        <f t="shared" si="8"/>
        <v>98.897800000000004</v>
      </c>
      <c r="AD46" s="504">
        <v>0.34</v>
      </c>
      <c r="AE46" s="508">
        <v>0.28000000000000003</v>
      </c>
      <c r="AF46" s="504">
        <v>3.4</v>
      </c>
      <c r="AG46" s="504">
        <f t="shared" si="20"/>
        <v>0.34</v>
      </c>
      <c r="AH46" s="504"/>
      <c r="AI46" s="504">
        <f t="shared" si="17"/>
        <v>0.28000000000000003</v>
      </c>
      <c r="AJ46" s="504"/>
      <c r="AK46" s="504"/>
      <c r="AL46" s="504"/>
      <c r="AM46" s="504"/>
      <c r="AN46" s="504"/>
      <c r="AO46" s="504"/>
      <c r="AP46" s="504">
        <v>1</v>
      </c>
      <c r="AQ46" s="504">
        <f>K46/J46*AP46</f>
        <v>0.24599398790693555</v>
      </c>
      <c r="AR46" s="505"/>
      <c r="AS46" s="505"/>
      <c r="AT46" s="507"/>
      <c r="AU46" s="693">
        <v>4.94489</v>
      </c>
      <c r="AV46" s="693">
        <f t="shared" si="9"/>
        <v>0</v>
      </c>
      <c r="AW46" s="305"/>
      <c r="AX46" s="305"/>
      <c r="AY46" s="305"/>
      <c r="AZ46" s="305"/>
      <c r="BA46" s="305"/>
      <c r="BB46" s="305"/>
      <c r="BC46" s="305"/>
      <c r="BD46" s="305"/>
    </row>
    <row r="47" spans="1:56" s="306" customFormat="1" ht="24">
      <c r="A47" s="487" t="s">
        <v>1024</v>
      </c>
      <c r="B47" s="491" t="s">
        <v>888</v>
      </c>
      <c r="C47" s="532" t="s">
        <v>1174</v>
      </c>
      <c r="D47" s="532"/>
      <c r="E47" s="284"/>
      <c r="F47" s="284"/>
      <c r="G47" s="284"/>
      <c r="H47" s="284"/>
      <c r="I47" s="284"/>
      <c r="J47" s="504">
        <v>1</v>
      </c>
      <c r="K47" s="504">
        <f t="shared" si="0"/>
        <v>0.24599398790693555</v>
      </c>
      <c r="L47" s="506">
        <v>5</v>
      </c>
      <c r="M47" s="504">
        <f t="shared" si="3"/>
        <v>5</v>
      </c>
      <c r="N47" s="504">
        <v>1</v>
      </c>
      <c r="O47" s="504">
        <f t="shared" si="1"/>
        <v>6.1498496976733888E-2</v>
      </c>
      <c r="P47" s="504">
        <v>1.25</v>
      </c>
      <c r="Q47" s="504">
        <v>1</v>
      </c>
      <c r="R47" s="504">
        <f t="shared" si="10"/>
        <v>6.1498496976733888E-2</v>
      </c>
      <c r="S47" s="504">
        <f t="shared" si="4"/>
        <v>100</v>
      </c>
      <c r="T47" s="504">
        <v>4.7803399999999998</v>
      </c>
      <c r="U47" s="504">
        <f t="shared" si="5"/>
        <v>382.42719999999997</v>
      </c>
      <c r="V47" s="504">
        <f t="shared" si="6"/>
        <v>1</v>
      </c>
      <c r="W47" s="504">
        <f t="shared" si="2"/>
        <v>0.24599398790693555</v>
      </c>
      <c r="X47" s="504">
        <f t="shared" si="7"/>
        <v>5</v>
      </c>
      <c r="Y47" s="504">
        <v>1</v>
      </c>
      <c r="Z47" s="504">
        <f t="shared" si="11"/>
        <v>0.24599398790693555</v>
      </c>
      <c r="AA47" s="504">
        <f t="shared" si="19"/>
        <v>100</v>
      </c>
      <c r="AB47" s="504">
        <v>4.7803399999999998</v>
      </c>
      <c r="AC47" s="504">
        <f t="shared" si="8"/>
        <v>95.606799999999993</v>
      </c>
      <c r="AD47" s="504"/>
      <c r="AE47" s="508"/>
      <c r="AF47" s="504"/>
      <c r="AG47" s="504"/>
      <c r="AH47" s="504"/>
      <c r="AI47" s="504"/>
      <c r="AJ47" s="504"/>
      <c r="AK47" s="504"/>
      <c r="AL47" s="504"/>
      <c r="AM47" s="504"/>
      <c r="AN47" s="504"/>
      <c r="AO47" s="504"/>
      <c r="AP47" s="504"/>
      <c r="AQ47" s="504"/>
      <c r="AR47" s="505"/>
      <c r="AS47" s="505"/>
      <c r="AT47" s="507"/>
      <c r="AU47" s="693">
        <f>'[2]3rd Trimester Progress(Pradesh '!AB47</f>
        <v>0</v>
      </c>
      <c r="AV47" s="693">
        <f t="shared" si="9"/>
        <v>4.7803399999999998</v>
      </c>
      <c r="AW47" s="305"/>
      <c r="AX47" s="305"/>
      <c r="AY47" s="305"/>
      <c r="AZ47" s="305"/>
      <c r="BA47" s="305"/>
      <c r="BB47" s="305"/>
      <c r="BC47" s="305"/>
      <c r="BD47" s="305"/>
    </row>
    <row r="48" spans="1:56" s="306" customFormat="1" ht="24">
      <c r="A48" s="487" t="s">
        <v>1025</v>
      </c>
      <c r="B48" s="492" t="s">
        <v>889</v>
      </c>
      <c r="C48" s="532" t="s">
        <v>1174</v>
      </c>
      <c r="D48" s="532"/>
      <c r="E48" s="284"/>
      <c r="F48" s="284"/>
      <c r="G48" s="284"/>
      <c r="H48" s="284"/>
      <c r="I48" s="284"/>
      <c r="J48" s="504">
        <v>1</v>
      </c>
      <c r="K48" s="504">
        <f t="shared" si="0"/>
        <v>0.24599398790693555</v>
      </c>
      <c r="L48" s="506">
        <v>5</v>
      </c>
      <c r="M48" s="504">
        <f t="shared" si="3"/>
        <v>5</v>
      </c>
      <c r="N48" s="504">
        <v>1</v>
      </c>
      <c r="O48" s="504">
        <f t="shared" si="1"/>
        <v>6.1498496976733888E-2</v>
      </c>
      <c r="P48" s="504">
        <v>1.25</v>
      </c>
      <c r="Q48" s="504">
        <v>1</v>
      </c>
      <c r="R48" s="504">
        <f t="shared" si="10"/>
        <v>6.1498496976733888E-2</v>
      </c>
      <c r="S48" s="504">
        <f t="shared" si="4"/>
        <v>100</v>
      </c>
      <c r="T48" s="504">
        <v>4.9864899999999999</v>
      </c>
      <c r="U48" s="504">
        <f t="shared" si="5"/>
        <v>398.91919999999999</v>
      </c>
      <c r="V48" s="504">
        <f t="shared" si="6"/>
        <v>1</v>
      </c>
      <c r="W48" s="504">
        <f t="shared" si="2"/>
        <v>0.24599398790693555</v>
      </c>
      <c r="X48" s="504">
        <f t="shared" si="7"/>
        <v>5</v>
      </c>
      <c r="Y48" s="504">
        <v>1</v>
      </c>
      <c r="Z48" s="504">
        <f t="shared" si="11"/>
        <v>0.24599398790693555</v>
      </c>
      <c r="AA48" s="504">
        <f t="shared" si="19"/>
        <v>100</v>
      </c>
      <c r="AB48" s="504">
        <v>4.9864899999999999</v>
      </c>
      <c r="AC48" s="504">
        <f t="shared" si="8"/>
        <v>99.729799999999997</v>
      </c>
      <c r="AD48" s="504"/>
      <c r="AE48" s="508"/>
      <c r="AF48" s="504"/>
      <c r="AG48" s="504"/>
      <c r="AH48" s="504"/>
      <c r="AI48" s="504"/>
      <c r="AJ48" s="504"/>
      <c r="AK48" s="504"/>
      <c r="AL48" s="504"/>
      <c r="AM48" s="504"/>
      <c r="AN48" s="504"/>
      <c r="AO48" s="504"/>
      <c r="AP48" s="504"/>
      <c r="AQ48" s="504"/>
      <c r="AR48" s="505"/>
      <c r="AS48" s="505"/>
      <c r="AT48" s="507"/>
      <c r="AU48" s="693">
        <f>'[2]3rd Trimester Progress(Pradesh '!AB48</f>
        <v>0</v>
      </c>
      <c r="AV48" s="693">
        <f t="shared" si="9"/>
        <v>4.9864899999999999</v>
      </c>
      <c r="AW48" s="305"/>
      <c r="AX48" s="305"/>
      <c r="AY48" s="305"/>
      <c r="AZ48" s="305"/>
      <c r="BA48" s="305"/>
      <c r="BB48" s="305"/>
      <c r="BC48" s="305"/>
      <c r="BD48" s="305"/>
    </row>
    <row r="49" spans="1:56" s="306" customFormat="1" ht="24">
      <c r="A49" s="487" t="s">
        <v>1026</v>
      </c>
      <c r="B49" s="492" t="s">
        <v>890</v>
      </c>
      <c r="C49" s="532" t="s">
        <v>1174</v>
      </c>
      <c r="D49" s="532"/>
      <c r="E49" s="284"/>
      <c r="F49" s="284"/>
      <c r="G49" s="284"/>
      <c r="H49" s="284"/>
      <c r="I49" s="284"/>
      <c r="J49" s="504">
        <v>1</v>
      </c>
      <c r="K49" s="504">
        <f t="shared" si="0"/>
        <v>0.24599398790693555</v>
      </c>
      <c r="L49" s="506">
        <v>5</v>
      </c>
      <c r="M49" s="504">
        <f t="shared" si="3"/>
        <v>5</v>
      </c>
      <c r="N49" s="504">
        <v>1</v>
      </c>
      <c r="O49" s="504">
        <f t="shared" si="1"/>
        <v>6.1498496976733888E-2</v>
      </c>
      <c r="P49" s="504">
        <v>1.25</v>
      </c>
      <c r="Q49" s="504">
        <v>0</v>
      </c>
      <c r="R49" s="504">
        <f t="shared" si="10"/>
        <v>0</v>
      </c>
      <c r="S49" s="504">
        <f t="shared" si="4"/>
        <v>0</v>
      </c>
      <c r="T49" s="504">
        <v>5.0599999999993983E-3</v>
      </c>
      <c r="U49" s="504">
        <f t="shared" si="5"/>
        <v>0.40479999999995192</v>
      </c>
      <c r="V49" s="504">
        <f t="shared" si="6"/>
        <v>1</v>
      </c>
      <c r="W49" s="504">
        <f t="shared" si="2"/>
        <v>0.24599398790693555</v>
      </c>
      <c r="X49" s="504">
        <f t="shared" si="7"/>
        <v>5</v>
      </c>
      <c r="Y49" s="504">
        <v>1</v>
      </c>
      <c r="Z49" s="504">
        <f t="shared" si="11"/>
        <v>0.24599398790693555</v>
      </c>
      <c r="AA49" s="504">
        <f t="shared" si="19"/>
        <v>100</v>
      </c>
      <c r="AB49" s="504">
        <v>4.9550599999999996</v>
      </c>
      <c r="AC49" s="504">
        <f t="shared" si="8"/>
        <v>99.101199999999992</v>
      </c>
      <c r="AD49" s="504"/>
      <c r="AE49" s="508"/>
      <c r="AF49" s="504"/>
      <c r="AG49" s="504"/>
      <c r="AH49" s="504"/>
      <c r="AI49" s="504"/>
      <c r="AJ49" s="504"/>
      <c r="AK49" s="504"/>
      <c r="AL49" s="504"/>
      <c r="AM49" s="504"/>
      <c r="AN49" s="504"/>
      <c r="AO49" s="504"/>
      <c r="AP49" s="504"/>
      <c r="AQ49" s="504"/>
      <c r="AR49" s="505"/>
      <c r="AS49" s="505"/>
      <c r="AT49" s="507"/>
      <c r="AU49" s="693">
        <f>'[2]3rd Trimester Progress(Pradesh '!AB49</f>
        <v>4.95</v>
      </c>
      <c r="AV49" s="693">
        <f t="shared" si="9"/>
        <v>5.0599999999993983E-3</v>
      </c>
      <c r="AW49" s="305"/>
      <c r="AX49" s="305"/>
      <c r="AY49" s="305"/>
      <c r="AZ49" s="305"/>
      <c r="BA49" s="305"/>
      <c r="BB49" s="305"/>
      <c r="BC49" s="305"/>
      <c r="BD49" s="305"/>
    </row>
    <row r="50" spans="1:56" s="306" customFormat="1" ht="24">
      <c r="A50" s="487" t="s">
        <v>1027</v>
      </c>
      <c r="B50" s="492" t="s">
        <v>891</v>
      </c>
      <c r="C50" s="532" t="s">
        <v>1174</v>
      </c>
      <c r="D50" s="532"/>
      <c r="E50" s="284"/>
      <c r="F50" s="284"/>
      <c r="G50" s="284"/>
      <c r="H50" s="284"/>
      <c r="I50" s="284"/>
      <c r="J50" s="504">
        <v>1</v>
      </c>
      <c r="K50" s="504">
        <f t="shared" si="0"/>
        <v>0.39359038065109686</v>
      </c>
      <c r="L50" s="506">
        <v>8</v>
      </c>
      <c r="M50" s="504">
        <f t="shared" si="3"/>
        <v>8</v>
      </c>
      <c r="N50" s="504">
        <v>1</v>
      </c>
      <c r="O50" s="504">
        <f t="shared" si="1"/>
        <v>9.8397595162774215E-2</v>
      </c>
      <c r="P50" s="504">
        <v>2</v>
      </c>
      <c r="Q50" s="504">
        <v>0.35</v>
      </c>
      <c r="R50" s="504">
        <f t="shared" si="10"/>
        <v>3.4439158306970974E-2</v>
      </c>
      <c r="S50" s="504">
        <f t="shared" si="4"/>
        <v>35</v>
      </c>
      <c r="T50" s="504">
        <v>3.0077199999999999</v>
      </c>
      <c r="U50" s="504">
        <f t="shared" si="5"/>
        <v>150.386</v>
      </c>
      <c r="V50" s="504">
        <f t="shared" si="6"/>
        <v>1</v>
      </c>
      <c r="W50" s="504">
        <f t="shared" si="2"/>
        <v>0.39359038065109686</v>
      </c>
      <c r="X50" s="504">
        <f t="shared" si="7"/>
        <v>8</v>
      </c>
      <c r="Y50" s="504">
        <v>1</v>
      </c>
      <c r="Z50" s="504">
        <f t="shared" si="11"/>
        <v>0.39359038065109686</v>
      </c>
      <c r="AA50" s="504">
        <f t="shared" si="19"/>
        <v>100</v>
      </c>
      <c r="AB50" s="504">
        <v>7.9477200000000003</v>
      </c>
      <c r="AC50" s="504">
        <f t="shared" si="8"/>
        <v>99.346500000000006</v>
      </c>
      <c r="AD50" s="504"/>
      <c r="AE50" s="508"/>
      <c r="AF50" s="504"/>
      <c r="AG50" s="504"/>
      <c r="AH50" s="504"/>
      <c r="AI50" s="504"/>
      <c r="AJ50" s="504"/>
      <c r="AK50" s="504"/>
      <c r="AL50" s="504"/>
      <c r="AM50" s="504"/>
      <c r="AN50" s="504"/>
      <c r="AO50" s="504"/>
      <c r="AP50" s="504"/>
      <c r="AQ50" s="504"/>
      <c r="AR50" s="505"/>
      <c r="AS50" s="505"/>
      <c r="AT50" s="507"/>
      <c r="AU50" s="693">
        <f>'[2]3rd Trimester Progress(Pradesh '!AB50</f>
        <v>4.9400000000000004</v>
      </c>
      <c r="AV50" s="693">
        <f t="shared" si="9"/>
        <v>3.0077199999999999</v>
      </c>
      <c r="AW50" s="305"/>
      <c r="AX50" s="305"/>
      <c r="AY50" s="305"/>
      <c r="AZ50" s="305"/>
      <c r="BA50" s="305"/>
      <c r="BB50" s="305"/>
      <c r="BC50" s="305"/>
      <c r="BD50" s="305"/>
    </row>
    <row r="51" spans="1:56" s="306" customFormat="1" ht="24">
      <c r="A51" s="487" t="s">
        <v>1028</v>
      </c>
      <c r="B51" s="492" t="s">
        <v>892</v>
      </c>
      <c r="C51" s="532" t="s">
        <v>1174</v>
      </c>
      <c r="D51" s="532"/>
      <c r="E51" s="284"/>
      <c r="F51" s="284"/>
      <c r="G51" s="284"/>
      <c r="H51" s="284"/>
      <c r="I51" s="284"/>
      <c r="J51" s="504">
        <v>1</v>
      </c>
      <c r="K51" s="504">
        <f t="shared" si="0"/>
        <v>0.39359038065109686</v>
      </c>
      <c r="L51" s="506">
        <v>8</v>
      </c>
      <c r="M51" s="504">
        <f t="shared" si="3"/>
        <v>8</v>
      </c>
      <c r="N51" s="504">
        <v>1</v>
      </c>
      <c r="O51" s="504">
        <f t="shared" si="1"/>
        <v>9.8397595162774215E-2</v>
      </c>
      <c r="P51" s="504">
        <v>2</v>
      </c>
      <c r="Q51" s="504">
        <v>0.65</v>
      </c>
      <c r="R51" s="504">
        <f t="shared" si="10"/>
        <v>6.3958436855803241E-2</v>
      </c>
      <c r="S51" s="504">
        <f t="shared" si="4"/>
        <v>65</v>
      </c>
      <c r="T51" s="504">
        <v>7.6760099999999998</v>
      </c>
      <c r="U51" s="504">
        <f t="shared" si="5"/>
        <v>383.8005</v>
      </c>
      <c r="V51" s="504">
        <f t="shared" si="6"/>
        <v>1</v>
      </c>
      <c r="W51" s="504">
        <f t="shared" si="2"/>
        <v>0.39359038065109686</v>
      </c>
      <c r="X51" s="504">
        <f t="shared" si="7"/>
        <v>8</v>
      </c>
      <c r="Y51" s="504">
        <v>1</v>
      </c>
      <c r="Z51" s="504">
        <f t="shared" si="11"/>
        <v>0.39359038065109686</v>
      </c>
      <c r="AA51" s="504">
        <f t="shared" si="19"/>
        <v>100</v>
      </c>
      <c r="AB51" s="504">
        <v>7.6760099999999998</v>
      </c>
      <c r="AC51" s="504">
        <f t="shared" si="8"/>
        <v>95.950125</v>
      </c>
      <c r="AD51" s="504"/>
      <c r="AE51" s="508"/>
      <c r="AF51" s="504"/>
      <c r="AG51" s="504"/>
      <c r="AH51" s="504"/>
      <c r="AI51" s="504"/>
      <c r="AJ51" s="504"/>
      <c r="AK51" s="504"/>
      <c r="AL51" s="504"/>
      <c r="AM51" s="504"/>
      <c r="AN51" s="504"/>
      <c r="AO51" s="504"/>
      <c r="AP51" s="504"/>
      <c r="AQ51" s="504"/>
      <c r="AR51" s="505"/>
      <c r="AS51" s="505"/>
      <c r="AT51" s="507"/>
      <c r="AU51" s="693">
        <f>'[2]3rd Trimester Progress(Pradesh '!AB51</f>
        <v>0</v>
      </c>
      <c r="AV51" s="693">
        <f t="shared" si="9"/>
        <v>7.6760099999999998</v>
      </c>
      <c r="AW51" s="305"/>
      <c r="AX51" s="305"/>
      <c r="AY51" s="305"/>
      <c r="AZ51" s="305"/>
      <c r="BA51" s="305"/>
      <c r="BB51" s="305"/>
      <c r="BC51" s="305"/>
      <c r="BD51" s="305"/>
    </row>
    <row r="52" spans="1:56" s="306" customFormat="1" ht="24">
      <c r="A52" s="487" t="s">
        <v>1029</v>
      </c>
      <c r="B52" s="492" t="s">
        <v>893</v>
      </c>
      <c r="C52" s="532" t="s">
        <v>1174</v>
      </c>
      <c r="D52" s="532"/>
      <c r="E52" s="284"/>
      <c r="F52" s="284"/>
      <c r="G52" s="284"/>
      <c r="H52" s="284"/>
      <c r="I52" s="284"/>
      <c r="J52" s="504">
        <v>1</v>
      </c>
      <c r="K52" s="504">
        <f t="shared" si="0"/>
        <v>0.98397595162774221</v>
      </c>
      <c r="L52" s="506">
        <v>20</v>
      </c>
      <c r="M52" s="504">
        <f t="shared" si="3"/>
        <v>20</v>
      </c>
      <c r="N52" s="504">
        <v>1</v>
      </c>
      <c r="O52" s="504">
        <f t="shared" si="1"/>
        <v>0.24599398790693555</v>
      </c>
      <c r="P52" s="504">
        <v>5</v>
      </c>
      <c r="Q52" s="504">
        <v>0.4</v>
      </c>
      <c r="R52" s="504">
        <f t="shared" si="10"/>
        <v>9.8397595162774229E-2</v>
      </c>
      <c r="S52" s="504">
        <f t="shared" si="4"/>
        <v>40</v>
      </c>
      <c r="T52" s="504">
        <v>8.6158199999999994</v>
      </c>
      <c r="U52" s="504">
        <f t="shared" si="5"/>
        <v>172.31639999999999</v>
      </c>
      <c r="V52" s="504">
        <f t="shared" si="6"/>
        <v>1</v>
      </c>
      <c r="W52" s="504">
        <f t="shared" si="2"/>
        <v>0.98397595162774221</v>
      </c>
      <c r="X52" s="504">
        <f t="shared" si="7"/>
        <v>20</v>
      </c>
      <c r="Y52" s="504">
        <v>1</v>
      </c>
      <c r="Z52" s="504">
        <f t="shared" si="11"/>
        <v>0.98397595162774221</v>
      </c>
      <c r="AA52" s="504">
        <f t="shared" ref="AA52:AA55" si="21">ROUND(IF(W52=0,Z52/K52*100,Z52/W52*100),2)</f>
        <v>100</v>
      </c>
      <c r="AB52" s="504">
        <v>19.93582</v>
      </c>
      <c r="AC52" s="504">
        <f t="shared" si="8"/>
        <v>99.679100000000005</v>
      </c>
      <c r="AD52" s="504"/>
      <c r="AE52" s="508"/>
      <c r="AF52" s="504"/>
      <c r="AG52" s="504"/>
      <c r="AH52" s="504"/>
      <c r="AI52" s="504"/>
      <c r="AJ52" s="504"/>
      <c r="AK52" s="504"/>
      <c r="AL52" s="504"/>
      <c r="AM52" s="504"/>
      <c r="AN52" s="504"/>
      <c r="AO52" s="504"/>
      <c r="AP52" s="504"/>
      <c r="AQ52" s="504"/>
      <c r="AR52" s="505"/>
      <c r="AS52" s="505"/>
      <c r="AT52" s="507"/>
      <c r="AU52" s="693">
        <f>'[2]3rd Trimester Progress(Pradesh '!AB52</f>
        <v>11.32</v>
      </c>
      <c r="AV52" s="693">
        <f t="shared" si="9"/>
        <v>8.6158199999999994</v>
      </c>
      <c r="AW52" s="305"/>
      <c r="AX52" s="305"/>
      <c r="AY52" s="305"/>
      <c r="AZ52" s="305"/>
      <c r="BA52" s="305"/>
      <c r="BB52" s="305"/>
      <c r="BC52" s="305"/>
      <c r="BD52" s="305"/>
    </row>
    <row r="53" spans="1:56" s="306" customFormat="1" ht="48">
      <c r="A53" s="487" t="s">
        <v>1030</v>
      </c>
      <c r="B53" s="492" t="s">
        <v>894</v>
      </c>
      <c r="C53" s="532" t="s">
        <v>1174</v>
      </c>
      <c r="D53" s="532"/>
      <c r="E53" s="284"/>
      <c r="F53" s="284"/>
      <c r="G53" s="284"/>
      <c r="H53" s="284"/>
      <c r="I53" s="284"/>
      <c r="J53" s="504">
        <v>1</v>
      </c>
      <c r="K53" s="504">
        <f t="shared" si="0"/>
        <v>1.4759639274416132</v>
      </c>
      <c r="L53" s="506">
        <v>30</v>
      </c>
      <c r="M53" s="504">
        <f t="shared" si="3"/>
        <v>30</v>
      </c>
      <c r="N53" s="504">
        <v>1</v>
      </c>
      <c r="O53" s="504">
        <f t="shared" si="1"/>
        <v>0.3689909818604033</v>
      </c>
      <c r="P53" s="504">
        <v>7.5</v>
      </c>
      <c r="Q53" s="504">
        <v>0.65</v>
      </c>
      <c r="R53" s="504">
        <f t="shared" si="10"/>
        <v>0.23984413820926215</v>
      </c>
      <c r="S53" s="504">
        <f t="shared" si="4"/>
        <v>65</v>
      </c>
      <c r="T53" s="504">
        <v>18.9574</v>
      </c>
      <c r="U53" s="504">
        <f t="shared" si="5"/>
        <v>252.76533333333333</v>
      </c>
      <c r="V53" s="504">
        <f t="shared" si="6"/>
        <v>1</v>
      </c>
      <c r="W53" s="504">
        <f t="shared" si="2"/>
        <v>1.4759639274416132</v>
      </c>
      <c r="X53" s="504">
        <f t="shared" si="7"/>
        <v>30</v>
      </c>
      <c r="Y53" s="504">
        <v>1</v>
      </c>
      <c r="Z53" s="504">
        <f t="shared" si="11"/>
        <v>1.4759639274416132</v>
      </c>
      <c r="AA53" s="504">
        <f t="shared" si="21"/>
        <v>100</v>
      </c>
      <c r="AB53" s="504">
        <v>29.337399999999999</v>
      </c>
      <c r="AC53" s="504">
        <f t="shared" si="8"/>
        <v>97.791333333333327</v>
      </c>
      <c r="AD53" s="504"/>
      <c r="AE53" s="508"/>
      <c r="AF53" s="504"/>
      <c r="AG53" s="504"/>
      <c r="AH53" s="504"/>
      <c r="AI53" s="504"/>
      <c r="AJ53" s="504"/>
      <c r="AK53" s="504"/>
      <c r="AL53" s="504"/>
      <c r="AM53" s="504"/>
      <c r="AN53" s="504"/>
      <c r="AO53" s="504"/>
      <c r="AP53" s="504"/>
      <c r="AQ53" s="504"/>
      <c r="AR53" s="505"/>
      <c r="AS53" s="505"/>
      <c r="AT53" s="507"/>
      <c r="AU53" s="693">
        <f>'[2]3rd Trimester Progress(Pradesh '!AB53</f>
        <v>10.38</v>
      </c>
      <c r="AV53" s="693">
        <f t="shared" si="9"/>
        <v>18.9574</v>
      </c>
      <c r="AW53" s="305"/>
      <c r="AX53" s="305"/>
      <c r="AY53" s="305"/>
      <c r="AZ53" s="305"/>
      <c r="BA53" s="305"/>
      <c r="BB53" s="305"/>
      <c r="BC53" s="305"/>
      <c r="BD53" s="305"/>
    </row>
    <row r="54" spans="1:56" s="306" customFormat="1" ht="24">
      <c r="A54" s="487" t="s">
        <v>1031</v>
      </c>
      <c r="B54" s="492" t="s">
        <v>895</v>
      </c>
      <c r="C54" s="532" t="s">
        <v>1174</v>
      </c>
      <c r="D54" s="532"/>
      <c r="E54" s="284"/>
      <c r="F54" s="284"/>
      <c r="G54" s="284"/>
      <c r="H54" s="284"/>
      <c r="I54" s="284"/>
      <c r="J54" s="504">
        <v>1</v>
      </c>
      <c r="K54" s="504">
        <f t="shared" si="0"/>
        <v>1.7219579153485487</v>
      </c>
      <c r="L54" s="506">
        <v>35</v>
      </c>
      <c r="M54" s="504">
        <f t="shared" si="3"/>
        <v>35</v>
      </c>
      <c r="N54" s="504">
        <v>1</v>
      </c>
      <c r="O54" s="504">
        <f t="shared" si="1"/>
        <v>0.43048947883713717</v>
      </c>
      <c r="P54" s="504">
        <v>8.75</v>
      </c>
      <c r="Q54" s="504">
        <v>0.55000000000000004</v>
      </c>
      <c r="R54" s="504">
        <f t="shared" si="10"/>
        <v>0.23676921336042547</v>
      </c>
      <c r="S54" s="504">
        <f t="shared" si="4"/>
        <v>55</v>
      </c>
      <c r="T54" s="504">
        <v>19.652189999999997</v>
      </c>
      <c r="U54" s="504">
        <f t="shared" si="5"/>
        <v>224.5964571428571</v>
      </c>
      <c r="V54" s="504">
        <f t="shared" si="6"/>
        <v>1</v>
      </c>
      <c r="W54" s="504">
        <f t="shared" si="2"/>
        <v>1.7219579153485487</v>
      </c>
      <c r="X54" s="504">
        <f t="shared" si="7"/>
        <v>35</v>
      </c>
      <c r="Y54" s="504">
        <v>1</v>
      </c>
      <c r="Z54" s="504">
        <f t="shared" si="11"/>
        <v>1.7219579153485487</v>
      </c>
      <c r="AA54" s="504">
        <f t="shared" si="21"/>
        <v>100</v>
      </c>
      <c r="AB54" s="504">
        <v>34.932189999999999</v>
      </c>
      <c r="AC54" s="504">
        <f t="shared" si="8"/>
        <v>99.806257142857135</v>
      </c>
      <c r="AD54" s="504"/>
      <c r="AE54" s="508"/>
      <c r="AF54" s="504"/>
      <c r="AG54" s="504"/>
      <c r="AH54" s="504"/>
      <c r="AI54" s="504"/>
      <c r="AJ54" s="504"/>
      <c r="AK54" s="504"/>
      <c r="AL54" s="504"/>
      <c r="AM54" s="504"/>
      <c r="AN54" s="504"/>
      <c r="AO54" s="504"/>
      <c r="AP54" s="504"/>
      <c r="AQ54" s="504"/>
      <c r="AR54" s="505"/>
      <c r="AS54" s="505"/>
      <c r="AT54" s="507"/>
      <c r="AU54" s="693">
        <f>'[2]3rd Trimester Progress(Pradesh '!AB54</f>
        <v>15.28</v>
      </c>
      <c r="AV54" s="693">
        <f t="shared" si="9"/>
        <v>19.652189999999997</v>
      </c>
      <c r="AW54" s="305"/>
      <c r="AX54" s="305"/>
      <c r="AY54" s="305"/>
      <c r="AZ54" s="305"/>
      <c r="BA54" s="305"/>
      <c r="BB54" s="305"/>
      <c r="BC54" s="305"/>
      <c r="BD54" s="305"/>
    </row>
    <row r="55" spans="1:56" s="306" customFormat="1" ht="46.5">
      <c r="A55" s="487" t="s">
        <v>1032</v>
      </c>
      <c r="B55" s="492" t="s">
        <v>896</v>
      </c>
      <c r="C55" s="534" t="s">
        <v>794</v>
      </c>
      <c r="D55" s="532"/>
      <c r="E55" s="284"/>
      <c r="F55" s="284"/>
      <c r="G55" s="284"/>
      <c r="H55" s="284"/>
      <c r="I55" s="284"/>
      <c r="J55" s="504">
        <v>1</v>
      </c>
      <c r="K55" s="504">
        <f t="shared" ref="K55:K86" si="22">(L55/$L$198)*100</f>
        <v>0</v>
      </c>
      <c r="L55" s="506">
        <v>0</v>
      </c>
      <c r="M55" s="504">
        <f t="shared" si="3"/>
        <v>0</v>
      </c>
      <c r="N55" s="504">
        <v>1</v>
      </c>
      <c r="O55" s="504">
        <f t="shared" ref="O55:O86" si="23">P55/$L$198*100</f>
        <v>0</v>
      </c>
      <c r="P55" s="504">
        <v>0</v>
      </c>
      <c r="Q55" s="504">
        <v>0</v>
      </c>
      <c r="R55" s="504">
        <f t="shared" si="10"/>
        <v>0</v>
      </c>
      <c r="S55" s="504">
        <v>0</v>
      </c>
      <c r="T55" s="504">
        <v>0</v>
      </c>
      <c r="U55" s="504">
        <f t="shared" si="5"/>
        <v>0</v>
      </c>
      <c r="V55" s="504">
        <f t="shared" si="6"/>
        <v>1</v>
      </c>
      <c r="W55" s="504">
        <f t="shared" si="2"/>
        <v>0</v>
      </c>
      <c r="X55" s="504">
        <f t="shared" si="7"/>
        <v>0</v>
      </c>
      <c r="Y55" s="504">
        <v>0</v>
      </c>
      <c r="Z55" s="504">
        <f t="shared" si="11"/>
        <v>0</v>
      </c>
      <c r="AA55" s="504">
        <v>0</v>
      </c>
      <c r="AB55" s="504">
        <v>0</v>
      </c>
      <c r="AC55" s="504">
        <f t="shared" si="8"/>
        <v>0</v>
      </c>
      <c r="AD55" s="504"/>
      <c r="AE55" s="508"/>
      <c r="AF55" s="504"/>
      <c r="AG55" s="504"/>
      <c r="AH55" s="504"/>
      <c r="AI55" s="504"/>
      <c r="AJ55" s="504"/>
      <c r="AK55" s="504"/>
      <c r="AL55" s="504"/>
      <c r="AM55" s="504"/>
      <c r="AN55" s="504"/>
      <c r="AO55" s="504"/>
      <c r="AP55" s="504"/>
      <c r="AQ55" s="504"/>
      <c r="AR55" s="505"/>
      <c r="AS55" s="505"/>
      <c r="AT55" s="507"/>
      <c r="AU55" s="693">
        <f>'[2]3rd Trimester Progress(Pradesh '!AB55</f>
        <v>0</v>
      </c>
      <c r="AV55" s="693">
        <f t="shared" si="9"/>
        <v>0</v>
      </c>
      <c r="AW55" s="305"/>
      <c r="AX55" s="305"/>
      <c r="AY55" s="305"/>
      <c r="AZ55" s="305"/>
      <c r="BA55" s="305"/>
      <c r="BB55" s="305"/>
      <c r="BC55" s="305"/>
      <c r="BD55" s="305"/>
    </row>
    <row r="56" spans="1:56" s="306" customFormat="1" ht="46.5">
      <c r="A56" s="487" t="s">
        <v>1033</v>
      </c>
      <c r="B56" s="492" t="s">
        <v>897</v>
      </c>
      <c r="C56" s="534" t="s">
        <v>794</v>
      </c>
      <c r="D56" s="532"/>
      <c r="E56" s="284"/>
      <c r="F56" s="284"/>
      <c r="G56" s="284"/>
      <c r="H56" s="284"/>
      <c r="I56" s="284"/>
      <c r="J56" s="504">
        <v>1</v>
      </c>
      <c r="K56" s="504">
        <f t="shared" si="22"/>
        <v>0.24599398790693555</v>
      </c>
      <c r="L56" s="506">
        <v>5</v>
      </c>
      <c r="M56" s="504">
        <f t="shared" si="3"/>
        <v>5</v>
      </c>
      <c r="N56" s="504">
        <v>1</v>
      </c>
      <c r="O56" s="504">
        <f t="shared" si="23"/>
        <v>6.1498496976733888E-2</v>
      </c>
      <c r="P56" s="504">
        <v>1.25</v>
      </c>
      <c r="Q56" s="504">
        <v>0</v>
      </c>
      <c r="R56" s="504">
        <f t="shared" si="10"/>
        <v>0</v>
      </c>
      <c r="S56" s="504">
        <f t="shared" si="4"/>
        <v>0</v>
      </c>
      <c r="T56" s="504">
        <v>0.20772999999999975</v>
      </c>
      <c r="U56" s="504">
        <f t="shared" si="5"/>
        <v>16.61839999999998</v>
      </c>
      <c r="V56" s="504">
        <f t="shared" si="6"/>
        <v>1</v>
      </c>
      <c r="W56" s="504">
        <f t="shared" si="2"/>
        <v>0.24599398790693555</v>
      </c>
      <c r="X56" s="504">
        <f t="shared" si="7"/>
        <v>5</v>
      </c>
      <c r="Y56" s="504">
        <v>1</v>
      </c>
      <c r="Z56" s="504">
        <f t="shared" si="11"/>
        <v>0.24599398790693555</v>
      </c>
      <c r="AA56" s="504">
        <f t="shared" ref="AA56:AA120" si="24">ROUND(IF(W56=0,Z56/K56*100,Z56/W56*100),2)</f>
        <v>100</v>
      </c>
      <c r="AB56" s="649">
        <v>4.9977299999999998</v>
      </c>
      <c r="AC56" s="504">
        <f t="shared" si="8"/>
        <v>99.954599999999999</v>
      </c>
      <c r="AD56" s="504"/>
      <c r="AE56" s="508"/>
      <c r="AF56" s="504"/>
      <c r="AG56" s="504"/>
      <c r="AH56" s="504"/>
      <c r="AI56" s="504"/>
      <c r="AJ56" s="504"/>
      <c r="AK56" s="504"/>
      <c r="AL56" s="504"/>
      <c r="AM56" s="504"/>
      <c r="AN56" s="504"/>
      <c r="AO56" s="504"/>
      <c r="AP56" s="504"/>
      <c r="AQ56" s="504"/>
      <c r="AR56" s="505"/>
      <c r="AS56" s="505"/>
      <c r="AT56" s="507"/>
      <c r="AU56" s="693">
        <f>'[2]3rd Trimester Progress(Pradesh '!AB56</f>
        <v>4.79</v>
      </c>
      <c r="AV56" s="693">
        <f t="shared" si="9"/>
        <v>0.20772999999999975</v>
      </c>
      <c r="AW56" s="305"/>
      <c r="AX56" s="305"/>
      <c r="AY56" s="305"/>
      <c r="AZ56" s="305"/>
      <c r="BA56" s="305"/>
      <c r="BB56" s="305"/>
      <c r="BC56" s="305"/>
      <c r="BD56" s="305"/>
    </row>
    <row r="57" spans="1:56" s="306" customFormat="1" ht="46.5">
      <c r="A57" s="487" t="s">
        <v>1034</v>
      </c>
      <c r="B57" s="492" t="s">
        <v>898</v>
      </c>
      <c r="C57" s="534" t="s">
        <v>794</v>
      </c>
      <c r="D57" s="532"/>
      <c r="E57" s="284"/>
      <c r="F57" s="284"/>
      <c r="G57" s="284"/>
      <c r="H57" s="284"/>
      <c r="I57" s="284"/>
      <c r="J57" s="504">
        <v>1</v>
      </c>
      <c r="K57" s="504">
        <f t="shared" si="22"/>
        <v>0.24599398790693555</v>
      </c>
      <c r="L57" s="506">
        <v>5</v>
      </c>
      <c r="M57" s="504">
        <f t="shared" si="3"/>
        <v>5</v>
      </c>
      <c r="N57" s="504">
        <v>1</v>
      </c>
      <c r="O57" s="504">
        <f t="shared" si="23"/>
        <v>6.1498496976733888E-2</v>
      </c>
      <c r="P57" s="504">
        <v>1.25</v>
      </c>
      <c r="Q57" s="504">
        <v>0</v>
      </c>
      <c r="R57" s="504">
        <f t="shared" si="10"/>
        <v>0</v>
      </c>
      <c r="S57" s="504">
        <f t="shared" si="4"/>
        <v>0</v>
      </c>
      <c r="T57" s="504">
        <v>0.20878999999999959</v>
      </c>
      <c r="U57" s="504">
        <f t="shared" si="5"/>
        <v>16.703199999999967</v>
      </c>
      <c r="V57" s="504">
        <f t="shared" si="6"/>
        <v>1</v>
      </c>
      <c r="W57" s="504">
        <f t="shared" si="2"/>
        <v>0.24599398790693555</v>
      </c>
      <c r="X57" s="504">
        <f t="shared" si="7"/>
        <v>5</v>
      </c>
      <c r="Y57" s="504">
        <v>1</v>
      </c>
      <c r="Z57" s="504">
        <f t="shared" si="11"/>
        <v>0.24599398790693555</v>
      </c>
      <c r="AA57" s="504">
        <f t="shared" si="24"/>
        <v>100</v>
      </c>
      <c r="AB57" s="649">
        <v>4.9987899999999996</v>
      </c>
      <c r="AC57" s="504">
        <f t="shared" si="8"/>
        <v>99.975799999999992</v>
      </c>
      <c r="AD57" s="504"/>
      <c r="AE57" s="508"/>
      <c r="AF57" s="504"/>
      <c r="AG57" s="504"/>
      <c r="AH57" s="504"/>
      <c r="AI57" s="504"/>
      <c r="AJ57" s="504"/>
      <c r="AK57" s="504"/>
      <c r="AL57" s="504"/>
      <c r="AM57" s="504"/>
      <c r="AN57" s="504"/>
      <c r="AO57" s="504"/>
      <c r="AP57" s="504"/>
      <c r="AQ57" s="504"/>
      <c r="AR57" s="505"/>
      <c r="AS57" s="505"/>
      <c r="AT57" s="507"/>
      <c r="AU57" s="693">
        <f>'[2]3rd Trimester Progress(Pradesh '!AB57</f>
        <v>4.79</v>
      </c>
      <c r="AV57" s="693">
        <f t="shared" si="9"/>
        <v>0.20878999999999959</v>
      </c>
      <c r="AW57" s="305"/>
      <c r="AX57" s="305"/>
      <c r="AY57" s="305"/>
      <c r="AZ57" s="305"/>
      <c r="BA57" s="305"/>
      <c r="BB57" s="305"/>
      <c r="BC57" s="305"/>
      <c r="BD57" s="305"/>
    </row>
    <row r="58" spans="1:56" s="306" customFormat="1" ht="48">
      <c r="A58" s="487" t="s">
        <v>1035</v>
      </c>
      <c r="B58" s="491" t="s">
        <v>899</v>
      </c>
      <c r="C58" s="534" t="s">
        <v>795</v>
      </c>
      <c r="D58" s="532"/>
      <c r="E58" s="284"/>
      <c r="F58" s="284"/>
      <c r="G58" s="284"/>
      <c r="H58" s="284"/>
      <c r="I58" s="284"/>
      <c r="J58" s="504">
        <v>1</v>
      </c>
      <c r="K58" s="504">
        <f t="shared" si="22"/>
        <v>4.4342876260104198</v>
      </c>
      <c r="L58" s="506">
        <f>9013000/100000</f>
        <v>90.13</v>
      </c>
      <c r="M58" s="504">
        <f t="shared" si="3"/>
        <v>90.13</v>
      </c>
      <c r="N58" s="504">
        <v>1</v>
      </c>
      <c r="O58" s="504">
        <f t="shared" si="23"/>
        <v>2.9538958067864818</v>
      </c>
      <c r="P58" s="504">
        <v>60.04</v>
      </c>
      <c r="Q58" s="504">
        <v>0.8</v>
      </c>
      <c r="R58" s="504">
        <f t="shared" si="10"/>
        <v>2.3631166454291854</v>
      </c>
      <c r="S58" s="504">
        <f t="shared" si="4"/>
        <v>80</v>
      </c>
      <c r="T58" s="504">
        <v>88.713610000000003</v>
      </c>
      <c r="U58" s="504">
        <f t="shared" si="5"/>
        <v>147.75751165889409</v>
      </c>
      <c r="V58" s="504">
        <f t="shared" si="6"/>
        <v>1</v>
      </c>
      <c r="W58" s="504">
        <f t="shared" si="2"/>
        <v>4.4342876260104198</v>
      </c>
      <c r="X58" s="504">
        <f t="shared" si="7"/>
        <v>90.13</v>
      </c>
      <c r="Y58" s="504">
        <v>1</v>
      </c>
      <c r="Z58" s="504">
        <f t="shared" si="11"/>
        <v>4.4342876260104198</v>
      </c>
      <c r="AA58" s="504">
        <f t="shared" si="24"/>
        <v>100</v>
      </c>
      <c r="AB58" s="504">
        <v>88.713610000000003</v>
      </c>
      <c r="AC58" s="504">
        <f t="shared" si="8"/>
        <v>98.428503273050055</v>
      </c>
      <c r="AD58" s="504"/>
      <c r="AE58" s="508"/>
      <c r="AF58" s="504"/>
      <c r="AG58" s="504"/>
      <c r="AH58" s="504"/>
      <c r="AI58" s="504"/>
      <c r="AJ58" s="504"/>
      <c r="AK58" s="504"/>
      <c r="AL58" s="504"/>
      <c r="AM58" s="504"/>
      <c r="AN58" s="504"/>
      <c r="AO58" s="504"/>
      <c r="AP58" s="504"/>
      <c r="AQ58" s="504"/>
      <c r="AR58" s="505"/>
      <c r="AS58" s="505"/>
      <c r="AT58" s="507"/>
      <c r="AU58" s="693">
        <f>'[2]3rd Trimester Progress(Pradesh '!AB58</f>
        <v>0</v>
      </c>
      <c r="AV58" s="693">
        <f t="shared" si="9"/>
        <v>88.713610000000003</v>
      </c>
      <c r="AW58" s="305"/>
      <c r="AX58" s="305"/>
      <c r="AY58" s="305"/>
      <c r="AZ58" s="305"/>
      <c r="BA58" s="305"/>
      <c r="BB58" s="305"/>
      <c r="BC58" s="305"/>
      <c r="BD58" s="305"/>
    </row>
    <row r="59" spans="1:56" s="306" customFormat="1" ht="24">
      <c r="A59" s="433" t="s">
        <v>1036</v>
      </c>
      <c r="B59" s="486" t="s">
        <v>900</v>
      </c>
      <c r="C59" s="534" t="s">
        <v>797</v>
      </c>
      <c r="D59" s="532"/>
      <c r="E59" s="284"/>
      <c r="F59" s="284"/>
      <c r="G59" s="284"/>
      <c r="H59" s="284"/>
      <c r="I59" s="284"/>
      <c r="J59" s="504">
        <v>1</v>
      </c>
      <c r="K59" s="504">
        <f t="shared" si="22"/>
        <v>0.39359038065109686</v>
      </c>
      <c r="L59" s="506">
        <v>8</v>
      </c>
      <c r="M59" s="504">
        <f t="shared" si="3"/>
        <v>8</v>
      </c>
      <c r="N59" s="504">
        <v>1</v>
      </c>
      <c r="O59" s="504">
        <f t="shared" si="23"/>
        <v>9.8397595162774215E-2</v>
      </c>
      <c r="P59" s="504">
        <v>2</v>
      </c>
      <c r="Q59" s="504">
        <v>1</v>
      </c>
      <c r="R59" s="504">
        <f t="shared" si="10"/>
        <v>9.8397595162774215E-2</v>
      </c>
      <c r="S59" s="504">
        <f t="shared" si="4"/>
        <v>100</v>
      </c>
      <c r="T59" s="504">
        <v>7.6823100000000002</v>
      </c>
      <c r="U59" s="504">
        <f t="shared" si="5"/>
        <v>384.1155</v>
      </c>
      <c r="V59" s="504">
        <f t="shared" si="6"/>
        <v>1</v>
      </c>
      <c r="W59" s="504">
        <f t="shared" si="2"/>
        <v>0.39359038065109686</v>
      </c>
      <c r="X59" s="504">
        <f t="shared" si="7"/>
        <v>8</v>
      </c>
      <c r="Y59" s="504">
        <v>1</v>
      </c>
      <c r="Z59" s="504">
        <f t="shared" si="11"/>
        <v>0.39359038065109686</v>
      </c>
      <c r="AA59" s="504">
        <f t="shared" si="24"/>
        <v>100</v>
      </c>
      <c r="AB59" s="504">
        <v>7.6823100000000002</v>
      </c>
      <c r="AC59" s="504">
        <f t="shared" si="8"/>
        <v>96.028874999999999</v>
      </c>
      <c r="AD59" s="504"/>
      <c r="AE59" s="508"/>
      <c r="AF59" s="504"/>
      <c r="AG59" s="504"/>
      <c r="AH59" s="504"/>
      <c r="AI59" s="504"/>
      <c r="AJ59" s="504"/>
      <c r="AK59" s="504"/>
      <c r="AL59" s="504"/>
      <c r="AM59" s="504"/>
      <c r="AN59" s="504"/>
      <c r="AO59" s="504"/>
      <c r="AP59" s="504"/>
      <c r="AQ59" s="504"/>
      <c r="AR59" s="505"/>
      <c r="AS59" s="505"/>
      <c r="AT59" s="507"/>
      <c r="AU59" s="693">
        <f>'[2]3rd Trimester Progress(Pradesh '!AB59</f>
        <v>0</v>
      </c>
      <c r="AV59" s="693">
        <f t="shared" si="9"/>
        <v>7.6823100000000002</v>
      </c>
      <c r="AW59" s="305"/>
      <c r="AX59" s="305"/>
      <c r="AY59" s="305"/>
      <c r="AZ59" s="305"/>
      <c r="BA59" s="305"/>
      <c r="BB59" s="305"/>
      <c r="BC59" s="305"/>
      <c r="BD59" s="305"/>
    </row>
    <row r="60" spans="1:56" s="306" customFormat="1" ht="24.75" customHeight="1">
      <c r="A60" s="433" t="s">
        <v>1037</v>
      </c>
      <c r="B60" s="486" t="s">
        <v>901</v>
      </c>
      <c r="C60" s="534" t="s">
        <v>797</v>
      </c>
      <c r="D60" s="532"/>
      <c r="E60" s="284"/>
      <c r="F60" s="284"/>
      <c r="G60" s="284"/>
      <c r="H60" s="284"/>
      <c r="I60" s="284"/>
      <c r="J60" s="504">
        <v>1</v>
      </c>
      <c r="K60" s="504">
        <f t="shared" si="22"/>
        <v>0.24599398790693555</v>
      </c>
      <c r="L60" s="506">
        <v>5</v>
      </c>
      <c r="M60" s="504">
        <f t="shared" si="3"/>
        <v>5</v>
      </c>
      <c r="N60" s="504">
        <v>1</v>
      </c>
      <c r="O60" s="504">
        <f t="shared" si="23"/>
        <v>0</v>
      </c>
      <c r="P60" s="504">
        <v>0</v>
      </c>
      <c r="Q60" s="504">
        <v>0</v>
      </c>
      <c r="R60" s="504">
        <f t="shared" si="10"/>
        <v>0</v>
      </c>
      <c r="S60" s="504">
        <f t="shared" si="4"/>
        <v>0</v>
      </c>
      <c r="T60" s="504">
        <v>0</v>
      </c>
      <c r="U60" s="504">
        <f t="shared" si="5"/>
        <v>0</v>
      </c>
      <c r="V60" s="504">
        <f t="shared" si="6"/>
        <v>1</v>
      </c>
      <c r="W60" s="504">
        <f t="shared" si="2"/>
        <v>0.24599398790693555</v>
      </c>
      <c r="X60" s="504">
        <f t="shared" si="7"/>
        <v>5</v>
      </c>
      <c r="Y60" s="504">
        <v>0</v>
      </c>
      <c r="Z60" s="504">
        <f t="shared" si="11"/>
        <v>0</v>
      </c>
      <c r="AA60" s="504">
        <f t="shared" si="24"/>
        <v>0</v>
      </c>
      <c r="AB60" s="504">
        <v>0</v>
      </c>
      <c r="AC60" s="504">
        <f t="shared" si="8"/>
        <v>0</v>
      </c>
      <c r="AD60" s="504"/>
      <c r="AE60" s="508"/>
      <c r="AF60" s="504"/>
      <c r="AG60" s="504"/>
      <c r="AH60" s="504"/>
      <c r="AI60" s="504"/>
      <c r="AJ60" s="504"/>
      <c r="AK60" s="504"/>
      <c r="AL60" s="504"/>
      <c r="AM60" s="504"/>
      <c r="AN60" s="504"/>
      <c r="AO60" s="504"/>
      <c r="AP60" s="504"/>
      <c r="AQ60" s="504"/>
      <c r="AR60" s="505"/>
      <c r="AS60" s="505"/>
      <c r="AT60" s="507"/>
      <c r="AU60" s="693">
        <f>'[2]3rd Trimester Progress(Pradesh '!AB60</f>
        <v>0</v>
      </c>
      <c r="AV60" s="693">
        <f t="shared" si="9"/>
        <v>0</v>
      </c>
      <c r="AW60" s="305"/>
      <c r="AX60" s="305"/>
      <c r="AY60" s="305"/>
      <c r="AZ60" s="305"/>
      <c r="BA60" s="305"/>
      <c r="BB60" s="305"/>
      <c r="BC60" s="305"/>
      <c r="BD60" s="305"/>
    </row>
    <row r="61" spans="1:56" s="306" customFormat="1" ht="24">
      <c r="A61" s="433" t="s">
        <v>1038</v>
      </c>
      <c r="B61" s="491" t="s">
        <v>902</v>
      </c>
      <c r="C61" s="534" t="s">
        <v>1174</v>
      </c>
      <c r="D61" s="532"/>
      <c r="E61" s="284"/>
      <c r="F61" s="284"/>
      <c r="G61" s="284"/>
      <c r="H61" s="284"/>
      <c r="I61" s="284"/>
      <c r="J61" s="504">
        <v>1</v>
      </c>
      <c r="K61" s="504">
        <f t="shared" si="22"/>
        <v>0</v>
      </c>
      <c r="L61" s="506">
        <v>0</v>
      </c>
      <c r="M61" s="504">
        <f t="shared" si="3"/>
        <v>0</v>
      </c>
      <c r="N61" s="504">
        <v>1</v>
      </c>
      <c r="O61" s="504">
        <f t="shared" si="23"/>
        <v>0</v>
      </c>
      <c r="P61" s="504">
        <v>0</v>
      </c>
      <c r="Q61" s="504">
        <v>0</v>
      </c>
      <c r="R61" s="504">
        <f t="shared" si="10"/>
        <v>0</v>
      </c>
      <c r="S61" s="504">
        <v>0</v>
      </c>
      <c r="T61" s="504">
        <v>0</v>
      </c>
      <c r="U61" s="504">
        <f t="shared" si="5"/>
        <v>0</v>
      </c>
      <c r="V61" s="504">
        <f t="shared" si="6"/>
        <v>1</v>
      </c>
      <c r="W61" s="504">
        <f t="shared" si="2"/>
        <v>0</v>
      </c>
      <c r="X61" s="504">
        <f t="shared" si="7"/>
        <v>0</v>
      </c>
      <c r="Y61" s="504">
        <v>0</v>
      </c>
      <c r="Z61" s="504">
        <f t="shared" si="11"/>
        <v>0</v>
      </c>
      <c r="AA61" s="504">
        <v>0</v>
      </c>
      <c r="AB61" s="504">
        <v>0</v>
      </c>
      <c r="AC61" s="504">
        <f t="shared" si="8"/>
        <v>0</v>
      </c>
      <c r="AD61" s="504"/>
      <c r="AE61" s="508"/>
      <c r="AF61" s="504"/>
      <c r="AG61" s="504"/>
      <c r="AH61" s="504"/>
      <c r="AI61" s="504"/>
      <c r="AJ61" s="504"/>
      <c r="AK61" s="504"/>
      <c r="AL61" s="504"/>
      <c r="AM61" s="504"/>
      <c r="AN61" s="504"/>
      <c r="AO61" s="504"/>
      <c r="AP61" s="504"/>
      <c r="AQ61" s="504"/>
      <c r="AR61" s="505"/>
      <c r="AS61" s="505"/>
      <c r="AT61" s="507"/>
      <c r="AU61" s="693">
        <f>'[2]3rd Trimester Progress(Pradesh '!AB61</f>
        <v>0</v>
      </c>
      <c r="AV61" s="693">
        <f t="shared" si="9"/>
        <v>0</v>
      </c>
      <c r="AW61" s="305"/>
      <c r="AX61" s="305"/>
      <c r="AY61" s="305"/>
      <c r="AZ61" s="305"/>
      <c r="BA61" s="305"/>
      <c r="BB61" s="305"/>
      <c r="BC61" s="305"/>
      <c r="BD61" s="305"/>
    </row>
    <row r="62" spans="1:56" s="306" customFormat="1" ht="24">
      <c r="A62" s="433" t="s">
        <v>1039</v>
      </c>
      <c r="B62" s="491" t="s">
        <v>903</v>
      </c>
      <c r="C62" s="534" t="s">
        <v>1174</v>
      </c>
      <c r="D62" s="532"/>
      <c r="E62" s="284"/>
      <c r="F62" s="284"/>
      <c r="G62" s="284"/>
      <c r="H62" s="284"/>
      <c r="I62" s="284"/>
      <c r="J62" s="504">
        <v>1</v>
      </c>
      <c r="K62" s="504">
        <f t="shared" si="22"/>
        <v>0.24599398790693555</v>
      </c>
      <c r="L62" s="506">
        <v>5</v>
      </c>
      <c r="M62" s="504">
        <f t="shared" si="3"/>
        <v>5</v>
      </c>
      <c r="N62" s="504">
        <v>1</v>
      </c>
      <c r="O62" s="504">
        <f t="shared" si="23"/>
        <v>0</v>
      </c>
      <c r="P62" s="504">
        <v>0</v>
      </c>
      <c r="Q62" s="504">
        <v>0</v>
      </c>
      <c r="R62" s="504">
        <f t="shared" si="10"/>
        <v>0</v>
      </c>
      <c r="S62" s="504">
        <f t="shared" si="4"/>
        <v>0</v>
      </c>
      <c r="T62" s="504">
        <v>0</v>
      </c>
      <c r="U62" s="504">
        <f t="shared" si="5"/>
        <v>0</v>
      </c>
      <c r="V62" s="504">
        <f t="shared" si="6"/>
        <v>1</v>
      </c>
      <c r="W62" s="504">
        <f t="shared" si="2"/>
        <v>0.24599398790693555</v>
      </c>
      <c r="X62" s="504">
        <f t="shared" si="7"/>
        <v>5</v>
      </c>
      <c r="Y62" s="504">
        <v>0</v>
      </c>
      <c r="Z62" s="504">
        <f t="shared" si="11"/>
        <v>0</v>
      </c>
      <c r="AA62" s="504">
        <f t="shared" si="24"/>
        <v>0</v>
      </c>
      <c r="AB62" s="504">
        <v>0</v>
      </c>
      <c r="AC62" s="504">
        <f t="shared" si="8"/>
        <v>0</v>
      </c>
      <c r="AD62" s="504"/>
      <c r="AE62" s="508"/>
      <c r="AF62" s="504"/>
      <c r="AG62" s="504"/>
      <c r="AH62" s="504"/>
      <c r="AI62" s="504"/>
      <c r="AJ62" s="504"/>
      <c r="AK62" s="504"/>
      <c r="AL62" s="504"/>
      <c r="AM62" s="504"/>
      <c r="AN62" s="504"/>
      <c r="AO62" s="504"/>
      <c r="AP62" s="504"/>
      <c r="AQ62" s="504"/>
      <c r="AR62" s="505"/>
      <c r="AS62" s="505"/>
      <c r="AT62" s="507"/>
      <c r="AU62" s="693">
        <f>'[2]3rd Trimester Progress(Pradesh '!AB62</f>
        <v>0</v>
      </c>
      <c r="AV62" s="693">
        <f t="shared" si="9"/>
        <v>0</v>
      </c>
      <c r="AW62" s="305"/>
      <c r="AX62" s="305"/>
      <c r="AY62" s="305"/>
      <c r="AZ62" s="305"/>
      <c r="BA62" s="305"/>
      <c r="BB62" s="305"/>
      <c r="BC62" s="305"/>
      <c r="BD62" s="305"/>
    </row>
    <row r="63" spans="1:56" s="306" customFormat="1" ht="24">
      <c r="A63" s="433" t="s">
        <v>1040</v>
      </c>
      <c r="B63" s="491" t="s">
        <v>904</v>
      </c>
      <c r="C63" s="534" t="s">
        <v>1174</v>
      </c>
      <c r="D63" s="532"/>
      <c r="E63" s="284"/>
      <c r="F63" s="284"/>
      <c r="G63" s="284"/>
      <c r="H63" s="284"/>
      <c r="I63" s="284"/>
      <c r="J63" s="504">
        <v>1</v>
      </c>
      <c r="K63" s="504">
        <f t="shared" si="22"/>
        <v>0.24599398790693555</v>
      </c>
      <c r="L63" s="506">
        <v>5</v>
      </c>
      <c r="M63" s="504">
        <f t="shared" si="3"/>
        <v>5</v>
      </c>
      <c r="N63" s="504">
        <v>1</v>
      </c>
      <c r="O63" s="504">
        <f t="shared" si="23"/>
        <v>6.1498496976733888E-2</v>
      </c>
      <c r="P63" s="504">
        <v>1.25</v>
      </c>
      <c r="Q63" s="504">
        <v>1</v>
      </c>
      <c r="R63" s="504">
        <f t="shared" si="10"/>
        <v>6.1498496976733888E-2</v>
      </c>
      <c r="S63" s="504">
        <f t="shared" si="4"/>
        <v>100</v>
      </c>
      <c r="T63" s="504">
        <v>4.9778099999999998</v>
      </c>
      <c r="U63" s="504">
        <f t="shared" si="5"/>
        <v>398.22479999999996</v>
      </c>
      <c r="V63" s="504">
        <f t="shared" si="6"/>
        <v>1</v>
      </c>
      <c r="W63" s="504">
        <f t="shared" si="2"/>
        <v>0.24599398790693555</v>
      </c>
      <c r="X63" s="504">
        <f t="shared" si="7"/>
        <v>5</v>
      </c>
      <c r="Y63" s="504">
        <v>1</v>
      </c>
      <c r="Z63" s="504">
        <f t="shared" si="11"/>
        <v>0.24599398790693555</v>
      </c>
      <c r="AA63" s="504">
        <f t="shared" si="24"/>
        <v>100</v>
      </c>
      <c r="AB63" s="504">
        <v>4.9778099999999998</v>
      </c>
      <c r="AC63" s="504">
        <f t="shared" si="8"/>
        <v>99.55619999999999</v>
      </c>
      <c r="AD63" s="504"/>
      <c r="AE63" s="508"/>
      <c r="AF63" s="504"/>
      <c r="AG63" s="504"/>
      <c r="AH63" s="504"/>
      <c r="AI63" s="504"/>
      <c r="AJ63" s="504"/>
      <c r="AK63" s="504"/>
      <c r="AL63" s="504"/>
      <c r="AM63" s="504"/>
      <c r="AN63" s="504"/>
      <c r="AO63" s="504"/>
      <c r="AP63" s="504"/>
      <c r="AQ63" s="504"/>
      <c r="AR63" s="505"/>
      <c r="AS63" s="505"/>
      <c r="AT63" s="507"/>
      <c r="AU63" s="693">
        <f>'[2]3rd Trimester Progress(Pradesh '!AB63</f>
        <v>0</v>
      </c>
      <c r="AV63" s="693">
        <f t="shared" si="9"/>
        <v>4.9778099999999998</v>
      </c>
      <c r="AW63" s="305"/>
      <c r="AX63" s="305"/>
      <c r="AY63" s="305"/>
      <c r="AZ63" s="305"/>
      <c r="BA63" s="305"/>
      <c r="BB63" s="305"/>
      <c r="BC63" s="305"/>
      <c r="BD63" s="305"/>
    </row>
    <row r="64" spans="1:56" s="306" customFormat="1" ht="24">
      <c r="A64" s="433" t="s">
        <v>1041</v>
      </c>
      <c r="B64" s="491" t="s">
        <v>905</v>
      </c>
      <c r="C64" s="534" t="s">
        <v>1174</v>
      </c>
      <c r="D64" s="532"/>
      <c r="E64" s="284"/>
      <c r="F64" s="284"/>
      <c r="G64" s="284"/>
      <c r="H64" s="284"/>
      <c r="I64" s="284"/>
      <c r="J64" s="504">
        <v>1</v>
      </c>
      <c r="K64" s="504">
        <f t="shared" si="22"/>
        <v>0.24599398790693555</v>
      </c>
      <c r="L64" s="506">
        <v>5</v>
      </c>
      <c r="M64" s="504">
        <f t="shared" si="3"/>
        <v>5</v>
      </c>
      <c r="N64" s="504">
        <v>1</v>
      </c>
      <c r="O64" s="504">
        <f t="shared" si="23"/>
        <v>6.1498496976733888E-2</v>
      </c>
      <c r="P64" s="504">
        <v>1.25</v>
      </c>
      <c r="Q64" s="504">
        <v>1</v>
      </c>
      <c r="R64" s="504">
        <f t="shared" si="10"/>
        <v>6.1498496976733888E-2</v>
      </c>
      <c r="S64" s="504">
        <f t="shared" si="4"/>
        <v>100</v>
      </c>
      <c r="T64" s="504">
        <v>4.9704499999999996</v>
      </c>
      <c r="U64" s="504">
        <f t="shared" si="5"/>
        <v>397.63599999999997</v>
      </c>
      <c r="V64" s="504">
        <f t="shared" si="6"/>
        <v>1</v>
      </c>
      <c r="W64" s="504">
        <f t="shared" si="2"/>
        <v>0.24599398790693555</v>
      </c>
      <c r="X64" s="504">
        <f t="shared" si="7"/>
        <v>5</v>
      </c>
      <c r="Y64" s="504">
        <v>1</v>
      </c>
      <c r="Z64" s="504">
        <f t="shared" si="11"/>
        <v>0.24599398790693555</v>
      </c>
      <c r="AA64" s="504">
        <f t="shared" si="24"/>
        <v>100</v>
      </c>
      <c r="AB64" s="504">
        <v>4.9704499999999996</v>
      </c>
      <c r="AC64" s="504">
        <f t="shared" si="8"/>
        <v>99.408999999999992</v>
      </c>
      <c r="AD64" s="504"/>
      <c r="AE64" s="508"/>
      <c r="AF64" s="504"/>
      <c r="AG64" s="504"/>
      <c r="AH64" s="504"/>
      <c r="AI64" s="504"/>
      <c r="AJ64" s="504"/>
      <c r="AK64" s="504"/>
      <c r="AL64" s="504"/>
      <c r="AM64" s="504"/>
      <c r="AN64" s="504"/>
      <c r="AO64" s="504"/>
      <c r="AP64" s="504"/>
      <c r="AQ64" s="504"/>
      <c r="AR64" s="505"/>
      <c r="AS64" s="505"/>
      <c r="AT64" s="507"/>
      <c r="AU64" s="693">
        <f>'[2]3rd Trimester Progress(Pradesh '!AB64</f>
        <v>0</v>
      </c>
      <c r="AV64" s="693">
        <f t="shared" si="9"/>
        <v>4.9704499999999996</v>
      </c>
      <c r="AW64" s="305"/>
      <c r="AX64" s="305"/>
      <c r="AY64" s="305"/>
      <c r="AZ64" s="305"/>
      <c r="BA64" s="305"/>
      <c r="BB64" s="305"/>
      <c r="BC64" s="305"/>
      <c r="BD64" s="305"/>
    </row>
    <row r="65" spans="1:56" s="306" customFormat="1" ht="24.75" customHeight="1">
      <c r="A65" s="433" t="s">
        <v>1042</v>
      </c>
      <c r="B65" s="491" t="s">
        <v>906</v>
      </c>
      <c r="C65" s="534" t="s">
        <v>1174</v>
      </c>
      <c r="D65" s="532"/>
      <c r="E65" s="284"/>
      <c r="F65" s="284"/>
      <c r="G65" s="284"/>
      <c r="H65" s="284"/>
      <c r="I65" s="284"/>
      <c r="J65" s="504">
        <v>1</v>
      </c>
      <c r="K65" s="504">
        <f t="shared" si="22"/>
        <v>0.24599398790693555</v>
      </c>
      <c r="L65" s="506">
        <v>5</v>
      </c>
      <c r="M65" s="504">
        <f t="shared" si="3"/>
        <v>5</v>
      </c>
      <c r="N65" s="504">
        <v>1</v>
      </c>
      <c r="O65" s="504">
        <f t="shared" si="23"/>
        <v>6.1498496976733888E-2</v>
      </c>
      <c r="P65" s="504">
        <v>1.25</v>
      </c>
      <c r="Q65" s="504">
        <v>0</v>
      </c>
      <c r="R65" s="504">
        <f t="shared" si="10"/>
        <v>0</v>
      </c>
      <c r="S65" s="504">
        <f t="shared" si="4"/>
        <v>0</v>
      </c>
      <c r="T65" s="504">
        <v>0.19569999999999954</v>
      </c>
      <c r="U65" s="504">
        <f t="shared" si="5"/>
        <v>15.655999999999965</v>
      </c>
      <c r="V65" s="504">
        <f t="shared" si="6"/>
        <v>1</v>
      </c>
      <c r="W65" s="504">
        <f t="shared" si="2"/>
        <v>0.24599398790693555</v>
      </c>
      <c r="X65" s="504">
        <f t="shared" si="7"/>
        <v>5</v>
      </c>
      <c r="Y65" s="504">
        <v>1</v>
      </c>
      <c r="Z65" s="504">
        <f t="shared" si="11"/>
        <v>0.24599398790693555</v>
      </c>
      <c r="AA65" s="504">
        <f t="shared" si="24"/>
        <v>100</v>
      </c>
      <c r="AB65" s="504">
        <v>4.9756999999999998</v>
      </c>
      <c r="AC65" s="504">
        <f t="shared" si="8"/>
        <v>99.513999999999996</v>
      </c>
      <c r="AD65" s="504"/>
      <c r="AE65" s="508"/>
      <c r="AF65" s="504"/>
      <c r="AG65" s="504"/>
      <c r="AH65" s="504"/>
      <c r="AI65" s="504"/>
      <c r="AJ65" s="504"/>
      <c r="AK65" s="504"/>
      <c r="AL65" s="504"/>
      <c r="AM65" s="504"/>
      <c r="AN65" s="504"/>
      <c r="AO65" s="504"/>
      <c r="AP65" s="504"/>
      <c r="AQ65" s="504"/>
      <c r="AR65" s="505"/>
      <c r="AS65" s="505"/>
      <c r="AT65" s="507"/>
      <c r="AU65" s="693">
        <f>'[2]3rd Trimester Progress(Pradesh '!AB65</f>
        <v>4.78</v>
      </c>
      <c r="AV65" s="693">
        <f t="shared" si="9"/>
        <v>0.19569999999999954</v>
      </c>
      <c r="AW65" s="305"/>
      <c r="AX65" s="305"/>
      <c r="AY65" s="305"/>
      <c r="AZ65" s="305"/>
      <c r="BA65" s="305"/>
      <c r="BB65" s="305"/>
      <c r="BC65" s="305"/>
      <c r="BD65" s="305"/>
    </row>
    <row r="66" spans="1:56" s="306" customFormat="1" ht="24">
      <c r="A66" s="433" t="s">
        <v>1043</v>
      </c>
      <c r="B66" s="491" t="s">
        <v>907</v>
      </c>
      <c r="C66" s="534" t="s">
        <v>1174</v>
      </c>
      <c r="D66" s="532"/>
      <c r="E66" s="284"/>
      <c r="F66" s="284"/>
      <c r="G66" s="284"/>
      <c r="H66" s="284"/>
      <c r="I66" s="284"/>
      <c r="J66" s="504">
        <v>1</v>
      </c>
      <c r="K66" s="504">
        <f t="shared" si="22"/>
        <v>0</v>
      </c>
      <c r="L66" s="506">
        <v>0</v>
      </c>
      <c r="M66" s="504">
        <f t="shared" si="3"/>
        <v>0</v>
      </c>
      <c r="N66" s="504">
        <v>1</v>
      </c>
      <c r="O66" s="504">
        <f t="shared" si="23"/>
        <v>0</v>
      </c>
      <c r="P66" s="504">
        <v>0</v>
      </c>
      <c r="Q66" s="504">
        <v>0</v>
      </c>
      <c r="R66" s="504">
        <f t="shared" si="10"/>
        <v>0</v>
      </c>
      <c r="S66" s="504">
        <v>0</v>
      </c>
      <c r="T66" s="504">
        <v>0</v>
      </c>
      <c r="U66" s="504">
        <f t="shared" si="5"/>
        <v>0</v>
      </c>
      <c r="V66" s="504">
        <f t="shared" si="6"/>
        <v>1</v>
      </c>
      <c r="W66" s="504">
        <f t="shared" si="2"/>
        <v>0</v>
      </c>
      <c r="X66" s="504">
        <f t="shared" si="7"/>
        <v>0</v>
      </c>
      <c r="Y66" s="504">
        <v>0</v>
      </c>
      <c r="Z66" s="504">
        <f t="shared" si="11"/>
        <v>0</v>
      </c>
      <c r="AA66" s="504">
        <v>0</v>
      </c>
      <c r="AB66" s="504">
        <v>0</v>
      </c>
      <c r="AC66" s="504">
        <f t="shared" si="8"/>
        <v>0</v>
      </c>
      <c r="AD66" s="504"/>
      <c r="AE66" s="508"/>
      <c r="AF66" s="504"/>
      <c r="AG66" s="504"/>
      <c r="AH66" s="504"/>
      <c r="AI66" s="504"/>
      <c r="AJ66" s="504"/>
      <c r="AK66" s="504"/>
      <c r="AL66" s="504"/>
      <c r="AM66" s="504"/>
      <c r="AN66" s="504"/>
      <c r="AO66" s="504"/>
      <c r="AP66" s="504"/>
      <c r="AQ66" s="504"/>
      <c r="AR66" s="505"/>
      <c r="AS66" s="505"/>
      <c r="AT66" s="507"/>
      <c r="AU66" s="693">
        <f>'[2]3rd Trimester Progress(Pradesh '!AB66</f>
        <v>0</v>
      </c>
      <c r="AV66" s="693">
        <f t="shared" si="9"/>
        <v>0</v>
      </c>
      <c r="AW66" s="305"/>
      <c r="AX66" s="305"/>
      <c r="AY66" s="305"/>
      <c r="AZ66" s="305"/>
      <c r="BA66" s="305"/>
      <c r="BB66" s="305"/>
      <c r="BC66" s="305"/>
      <c r="BD66" s="305"/>
    </row>
    <row r="67" spans="1:56" s="306" customFormat="1" ht="24">
      <c r="A67" s="433" t="s">
        <v>1044</v>
      </c>
      <c r="B67" s="491" t="s">
        <v>908</v>
      </c>
      <c r="C67" s="534" t="s">
        <v>1174</v>
      </c>
      <c r="D67" s="532"/>
      <c r="E67" s="284"/>
      <c r="F67" s="284"/>
      <c r="G67" s="284"/>
      <c r="H67" s="284"/>
      <c r="I67" s="284"/>
      <c r="J67" s="504">
        <v>1</v>
      </c>
      <c r="K67" s="504">
        <f t="shared" si="22"/>
        <v>2.0663494984182584</v>
      </c>
      <c r="L67" s="506">
        <v>42</v>
      </c>
      <c r="M67" s="504">
        <f t="shared" si="3"/>
        <v>42</v>
      </c>
      <c r="N67" s="504">
        <v>1</v>
      </c>
      <c r="O67" s="504">
        <f t="shared" si="23"/>
        <v>0.51658737460456461</v>
      </c>
      <c r="P67" s="504">
        <v>10.5</v>
      </c>
      <c r="Q67" s="504">
        <v>0.6</v>
      </c>
      <c r="R67" s="504">
        <f t="shared" si="10"/>
        <v>0.30995242476273877</v>
      </c>
      <c r="S67" s="504">
        <f t="shared" si="4"/>
        <v>60</v>
      </c>
      <c r="T67" s="504">
        <v>29.775539999999999</v>
      </c>
      <c r="U67" s="504">
        <f t="shared" si="5"/>
        <v>283.57657142857147</v>
      </c>
      <c r="V67" s="504">
        <f t="shared" si="6"/>
        <v>1</v>
      </c>
      <c r="W67" s="504">
        <f t="shared" si="2"/>
        <v>2.0663494984182584</v>
      </c>
      <c r="X67" s="504">
        <f t="shared" si="7"/>
        <v>42</v>
      </c>
      <c r="Y67" s="504">
        <v>1</v>
      </c>
      <c r="Z67" s="504">
        <f t="shared" si="11"/>
        <v>2.0663494984182584</v>
      </c>
      <c r="AA67" s="504">
        <f t="shared" si="24"/>
        <v>100</v>
      </c>
      <c r="AB67" s="504">
        <v>41.885539999999999</v>
      </c>
      <c r="AC67" s="504">
        <f t="shared" si="8"/>
        <v>99.727476190476182</v>
      </c>
      <c r="AD67" s="504"/>
      <c r="AE67" s="508"/>
      <c r="AF67" s="504"/>
      <c r="AG67" s="504"/>
      <c r="AH67" s="504"/>
      <c r="AI67" s="504"/>
      <c r="AJ67" s="504"/>
      <c r="AK67" s="504"/>
      <c r="AL67" s="504"/>
      <c r="AM67" s="504"/>
      <c r="AN67" s="504"/>
      <c r="AO67" s="504"/>
      <c r="AP67" s="504"/>
      <c r="AQ67" s="504"/>
      <c r="AR67" s="505"/>
      <c r="AS67" s="505"/>
      <c r="AT67" s="507"/>
      <c r="AU67" s="693">
        <f>'[2]3rd Trimester Progress(Pradesh '!AB67</f>
        <v>12.11</v>
      </c>
      <c r="AV67" s="693">
        <f t="shared" si="9"/>
        <v>29.775539999999999</v>
      </c>
      <c r="AW67" s="305"/>
      <c r="AX67" s="305"/>
      <c r="AY67" s="305"/>
      <c r="AZ67" s="305"/>
      <c r="BA67" s="305"/>
      <c r="BB67" s="305"/>
      <c r="BC67" s="305"/>
      <c r="BD67" s="305"/>
    </row>
    <row r="68" spans="1:56" s="306" customFormat="1" ht="24.75" customHeight="1">
      <c r="A68" s="433" t="s">
        <v>1045</v>
      </c>
      <c r="B68" s="491" t="s">
        <v>909</v>
      </c>
      <c r="C68" s="534" t="s">
        <v>1174</v>
      </c>
      <c r="D68" s="532"/>
      <c r="E68" s="284"/>
      <c r="F68" s="284"/>
      <c r="G68" s="284"/>
      <c r="H68" s="284"/>
      <c r="I68" s="284"/>
      <c r="J68" s="504">
        <v>1</v>
      </c>
      <c r="K68" s="504">
        <f t="shared" si="22"/>
        <v>0.7379819637208066</v>
      </c>
      <c r="L68" s="506">
        <v>15</v>
      </c>
      <c r="M68" s="504">
        <f t="shared" si="3"/>
        <v>15</v>
      </c>
      <c r="N68" s="504">
        <v>1</v>
      </c>
      <c r="O68" s="504">
        <f t="shared" si="23"/>
        <v>0.18449549093020165</v>
      </c>
      <c r="P68" s="504">
        <v>3.75</v>
      </c>
      <c r="Q68" s="504">
        <v>0.5</v>
      </c>
      <c r="R68" s="504">
        <f t="shared" si="10"/>
        <v>9.2247745465100825E-2</v>
      </c>
      <c r="S68" s="504">
        <f t="shared" si="4"/>
        <v>50</v>
      </c>
      <c r="T68" s="504">
        <v>14.990729999999999</v>
      </c>
      <c r="U68" s="504">
        <f t="shared" si="5"/>
        <v>399.75279999999998</v>
      </c>
      <c r="V68" s="504">
        <f t="shared" si="6"/>
        <v>1</v>
      </c>
      <c r="W68" s="504">
        <f t="shared" si="2"/>
        <v>0.7379819637208066</v>
      </c>
      <c r="X68" s="504">
        <f t="shared" si="7"/>
        <v>15</v>
      </c>
      <c r="Y68" s="504">
        <v>1</v>
      </c>
      <c r="Z68" s="504">
        <f t="shared" si="11"/>
        <v>0.7379819637208066</v>
      </c>
      <c r="AA68" s="504">
        <f t="shared" si="24"/>
        <v>100</v>
      </c>
      <c r="AB68" s="504">
        <v>14.990729999999999</v>
      </c>
      <c r="AC68" s="504">
        <f t="shared" si="8"/>
        <v>99.938199999999995</v>
      </c>
      <c r="AD68" s="504"/>
      <c r="AE68" s="508"/>
      <c r="AF68" s="504"/>
      <c r="AG68" s="504"/>
      <c r="AH68" s="504"/>
      <c r="AI68" s="504"/>
      <c r="AJ68" s="504"/>
      <c r="AK68" s="504"/>
      <c r="AL68" s="504"/>
      <c r="AM68" s="504"/>
      <c r="AN68" s="504"/>
      <c r="AO68" s="504"/>
      <c r="AP68" s="504"/>
      <c r="AQ68" s="504"/>
      <c r="AR68" s="505"/>
      <c r="AS68" s="505"/>
      <c r="AT68" s="507"/>
      <c r="AU68" s="693">
        <f>'[2]3rd Trimester Progress(Pradesh '!AB68</f>
        <v>0</v>
      </c>
      <c r="AV68" s="693">
        <f t="shared" si="9"/>
        <v>14.990729999999999</v>
      </c>
      <c r="AW68" s="305"/>
      <c r="AX68" s="305"/>
      <c r="AY68" s="305"/>
      <c r="AZ68" s="305"/>
      <c r="BA68" s="305"/>
      <c r="BB68" s="305"/>
      <c r="BC68" s="305"/>
      <c r="BD68" s="305"/>
    </row>
    <row r="69" spans="1:56" s="306" customFormat="1" ht="24">
      <c r="A69" s="433" t="s">
        <v>1046</v>
      </c>
      <c r="B69" s="486" t="s">
        <v>910</v>
      </c>
      <c r="C69" s="534" t="s">
        <v>1174</v>
      </c>
      <c r="D69" s="532"/>
      <c r="E69" s="284"/>
      <c r="F69" s="284"/>
      <c r="G69" s="284"/>
      <c r="H69" s="284"/>
      <c r="I69" s="284"/>
      <c r="J69" s="504">
        <v>1</v>
      </c>
      <c r="K69" s="504">
        <f t="shared" si="22"/>
        <v>0.24599398790693555</v>
      </c>
      <c r="L69" s="506">
        <v>5</v>
      </c>
      <c r="M69" s="504">
        <f t="shared" si="3"/>
        <v>5</v>
      </c>
      <c r="N69" s="504">
        <v>1</v>
      </c>
      <c r="O69" s="504">
        <f t="shared" si="23"/>
        <v>6.1498496976733888E-2</v>
      </c>
      <c r="P69" s="504">
        <v>1.25</v>
      </c>
      <c r="Q69" s="504">
        <v>1</v>
      </c>
      <c r="R69" s="504">
        <f t="shared" si="10"/>
        <v>6.1498496976733888E-2</v>
      </c>
      <c r="S69" s="504">
        <f t="shared" si="4"/>
        <v>100</v>
      </c>
      <c r="T69" s="504">
        <v>4.7718800000000003</v>
      </c>
      <c r="U69" s="504">
        <f t="shared" si="5"/>
        <v>381.75040000000007</v>
      </c>
      <c r="V69" s="504">
        <f t="shared" si="6"/>
        <v>1</v>
      </c>
      <c r="W69" s="504">
        <f t="shared" si="2"/>
        <v>0.24599398790693555</v>
      </c>
      <c r="X69" s="504">
        <f t="shared" si="7"/>
        <v>5</v>
      </c>
      <c r="Y69" s="504">
        <v>1</v>
      </c>
      <c r="Z69" s="504">
        <f t="shared" si="11"/>
        <v>0.24599398790693555</v>
      </c>
      <c r="AA69" s="504">
        <f t="shared" si="24"/>
        <v>100</v>
      </c>
      <c r="AB69" s="504">
        <v>4.7718800000000003</v>
      </c>
      <c r="AC69" s="504">
        <f t="shared" si="8"/>
        <v>95.437600000000018</v>
      </c>
      <c r="AD69" s="504"/>
      <c r="AE69" s="508"/>
      <c r="AF69" s="504"/>
      <c r="AG69" s="504"/>
      <c r="AH69" s="504"/>
      <c r="AI69" s="504"/>
      <c r="AJ69" s="504"/>
      <c r="AK69" s="504"/>
      <c r="AL69" s="504"/>
      <c r="AM69" s="504"/>
      <c r="AN69" s="504"/>
      <c r="AO69" s="504"/>
      <c r="AP69" s="504"/>
      <c r="AQ69" s="504"/>
      <c r="AR69" s="505"/>
      <c r="AS69" s="505"/>
      <c r="AT69" s="507"/>
      <c r="AU69" s="693">
        <f>'[2]3rd Trimester Progress(Pradesh '!AB69</f>
        <v>0</v>
      </c>
      <c r="AV69" s="693">
        <f t="shared" si="9"/>
        <v>4.7718800000000003</v>
      </c>
      <c r="AW69" s="305"/>
      <c r="AX69" s="305"/>
      <c r="AY69" s="305"/>
      <c r="AZ69" s="305"/>
      <c r="BA69" s="305"/>
      <c r="BB69" s="305"/>
      <c r="BC69" s="305"/>
      <c r="BD69" s="305"/>
    </row>
    <row r="70" spans="1:56" s="306" customFormat="1" ht="24.75" customHeight="1">
      <c r="A70" s="433" t="s">
        <v>1047</v>
      </c>
      <c r="B70" s="491" t="s">
        <v>911</v>
      </c>
      <c r="C70" s="534" t="s">
        <v>1174</v>
      </c>
      <c r="D70" s="532"/>
      <c r="E70" s="284"/>
      <c r="F70" s="284"/>
      <c r="G70" s="284"/>
      <c r="H70" s="284"/>
      <c r="I70" s="284"/>
      <c r="J70" s="504">
        <v>1</v>
      </c>
      <c r="K70" s="504">
        <f t="shared" si="22"/>
        <v>0.24599398790693555</v>
      </c>
      <c r="L70" s="506">
        <v>5</v>
      </c>
      <c r="M70" s="504">
        <f t="shared" si="3"/>
        <v>5</v>
      </c>
      <c r="N70" s="504">
        <v>1</v>
      </c>
      <c r="O70" s="504">
        <f t="shared" si="23"/>
        <v>6.1498496976733888E-2</v>
      </c>
      <c r="P70" s="504">
        <v>1.25</v>
      </c>
      <c r="Q70" s="504">
        <v>0</v>
      </c>
      <c r="R70" s="504">
        <f t="shared" si="10"/>
        <v>0</v>
      </c>
      <c r="S70" s="504">
        <f t="shared" si="4"/>
        <v>0</v>
      </c>
      <c r="T70" s="504">
        <v>0.20277999999999974</v>
      </c>
      <c r="U70" s="504">
        <f t="shared" si="5"/>
        <v>16.222399999999979</v>
      </c>
      <c r="V70" s="504">
        <f t="shared" si="6"/>
        <v>1</v>
      </c>
      <c r="W70" s="504">
        <f t="shared" si="2"/>
        <v>0.24599398790693555</v>
      </c>
      <c r="X70" s="504">
        <f t="shared" si="7"/>
        <v>5</v>
      </c>
      <c r="Y70" s="504">
        <v>1</v>
      </c>
      <c r="Z70" s="504">
        <f t="shared" si="11"/>
        <v>0.24599398790693555</v>
      </c>
      <c r="AA70" s="504">
        <f t="shared" si="24"/>
        <v>100</v>
      </c>
      <c r="AB70" s="504">
        <v>4.9927799999999998</v>
      </c>
      <c r="AC70" s="504">
        <f t="shared" si="8"/>
        <v>99.855599999999995</v>
      </c>
      <c r="AD70" s="504"/>
      <c r="AE70" s="508"/>
      <c r="AF70" s="504"/>
      <c r="AG70" s="504"/>
      <c r="AH70" s="504"/>
      <c r="AI70" s="504"/>
      <c r="AJ70" s="504"/>
      <c r="AK70" s="504"/>
      <c r="AL70" s="504"/>
      <c r="AM70" s="504"/>
      <c r="AN70" s="504"/>
      <c r="AO70" s="504"/>
      <c r="AP70" s="504"/>
      <c r="AQ70" s="504"/>
      <c r="AR70" s="505"/>
      <c r="AS70" s="505"/>
      <c r="AT70" s="507"/>
      <c r="AU70" s="693">
        <f>'[2]3rd Trimester Progress(Pradesh '!AB70</f>
        <v>4.79</v>
      </c>
      <c r="AV70" s="693">
        <f t="shared" si="9"/>
        <v>0.20277999999999974</v>
      </c>
      <c r="AW70" s="305"/>
      <c r="AX70" s="305"/>
      <c r="AY70" s="305"/>
      <c r="AZ70" s="305"/>
      <c r="BA70" s="305"/>
      <c r="BB70" s="305"/>
      <c r="BC70" s="305"/>
      <c r="BD70" s="305"/>
    </row>
    <row r="71" spans="1:56" s="306" customFormat="1" ht="24">
      <c r="A71" s="433" t="s">
        <v>1048</v>
      </c>
      <c r="B71" s="492" t="s">
        <v>912</v>
      </c>
      <c r="C71" s="534" t="s">
        <v>1174</v>
      </c>
      <c r="D71" s="532"/>
      <c r="E71" s="284"/>
      <c r="F71" s="284"/>
      <c r="G71" s="284"/>
      <c r="H71" s="284"/>
      <c r="I71" s="284"/>
      <c r="J71" s="504">
        <v>1</v>
      </c>
      <c r="K71" s="504">
        <f t="shared" si="22"/>
        <v>0.24599398790693555</v>
      </c>
      <c r="L71" s="506">
        <v>5</v>
      </c>
      <c r="M71" s="504">
        <f t="shared" si="3"/>
        <v>5</v>
      </c>
      <c r="N71" s="504">
        <v>1</v>
      </c>
      <c r="O71" s="504">
        <f t="shared" si="23"/>
        <v>6.1498496976733888E-2</v>
      </c>
      <c r="P71" s="504">
        <v>1.25</v>
      </c>
      <c r="Q71" s="504">
        <v>0</v>
      </c>
      <c r="R71" s="504">
        <f t="shared" si="10"/>
        <v>0</v>
      </c>
      <c r="S71" s="504">
        <f t="shared" si="4"/>
        <v>0</v>
      </c>
      <c r="T71" s="504">
        <v>0.27923000000000009</v>
      </c>
      <c r="U71" s="504">
        <f t="shared" si="5"/>
        <v>22.338400000000007</v>
      </c>
      <c r="V71" s="504">
        <f t="shared" si="6"/>
        <v>1</v>
      </c>
      <c r="W71" s="504">
        <f t="shared" si="2"/>
        <v>0.24599398790693555</v>
      </c>
      <c r="X71" s="504">
        <f t="shared" si="7"/>
        <v>5</v>
      </c>
      <c r="Y71" s="504">
        <v>1</v>
      </c>
      <c r="Z71" s="504">
        <f t="shared" si="11"/>
        <v>0.24599398790693555</v>
      </c>
      <c r="AA71" s="504">
        <f t="shared" si="24"/>
        <v>100</v>
      </c>
      <c r="AB71" s="504">
        <v>4.94923</v>
      </c>
      <c r="AC71" s="504">
        <f t="shared" si="8"/>
        <v>98.9846</v>
      </c>
      <c r="AD71" s="504"/>
      <c r="AE71" s="508"/>
      <c r="AF71" s="504"/>
      <c r="AG71" s="504"/>
      <c r="AH71" s="504"/>
      <c r="AI71" s="504"/>
      <c r="AJ71" s="504"/>
      <c r="AK71" s="504"/>
      <c r="AL71" s="504"/>
      <c r="AM71" s="504"/>
      <c r="AN71" s="504"/>
      <c r="AO71" s="504"/>
      <c r="AP71" s="504"/>
      <c r="AQ71" s="504"/>
      <c r="AR71" s="505"/>
      <c r="AS71" s="505"/>
      <c r="AT71" s="507"/>
      <c r="AU71" s="693">
        <f>'[2]3rd Trimester Progress(Pradesh '!AB71</f>
        <v>4.67</v>
      </c>
      <c r="AV71" s="693">
        <f t="shared" si="9"/>
        <v>0.27923000000000009</v>
      </c>
      <c r="AW71" s="305"/>
      <c r="AX71" s="305"/>
      <c r="AY71" s="305"/>
      <c r="AZ71" s="305"/>
      <c r="BA71" s="305"/>
      <c r="BB71" s="305"/>
      <c r="BC71" s="305"/>
      <c r="BD71" s="305"/>
    </row>
    <row r="72" spans="1:56" s="306" customFormat="1" ht="24">
      <c r="A72" s="433" t="s">
        <v>1049</v>
      </c>
      <c r="B72" s="492" t="s">
        <v>913</v>
      </c>
      <c r="C72" s="534" t="s">
        <v>1174</v>
      </c>
      <c r="D72" s="532"/>
      <c r="E72" s="284"/>
      <c r="F72" s="284"/>
      <c r="G72" s="284"/>
      <c r="H72" s="284"/>
      <c r="I72" s="284"/>
      <c r="J72" s="504">
        <v>1</v>
      </c>
      <c r="K72" s="504">
        <f t="shared" si="22"/>
        <v>0.24599398790693555</v>
      </c>
      <c r="L72" s="506">
        <v>5</v>
      </c>
      <c r="M72" s="504">
        <f t="shared" si="3"/>
        <v>5</v>
      </c>
      <c r="N72" s="504">
        <v>1</v>
      </c>
      <c r="O72" s="504">
        <f t="shared" si="23"/>
        <v>6.1498496976733888E-2</v>
      </c>
      <c r="P72" s="504">
        <v>1.25</v>
      </c>
      <c r="Q72" s="504">
        <v>0</v>
      </c>
      <c r="R72" s="504">
        <f t="shared" si="10"/>
        <v>0</v>
      </c>
      <c r="S72" s="504">
        <f t="shared" si="4"/>
        <v>0</v>
      </c>
      <c r="T72" s="504">
        <v>0</v>
      </c>
      <c r="U72" s="504">
        <f t="shared" si="5"/>
        <v>0</v>
      </c>
      <c r="V72" s="504">
        <f t="shared" si="6"/>
        <v>1</v>
      </c>
      <c r="W72" s="504">
        <f t="shared" si="2"/>
        <v>0.24599398790693555</v>
      </c>
      <c r="X72" s="504">
        <f t="shared" si="7"/>
        <v>5</v>
      </c>
      <c r="Y72" s="504">
        <v>1</v>
      </c>
      <c r="Z72" s="504">
        <f t="shared" si="11"/>
        <v>0.24599398790693555</v>
      </c>
      <c r="AA72" s="504">
        <f t="shared" si="24"/>
        <v>100</v>
      </c>
      <c r="AB72" s="504">
        <v>4.8</v>
      </c>
      <c r="AC72" s="504">
        <f t="shared" si="8"/>
        <v>96</v>
      </c>
      <c r="AD72" s="504"/>
      <c r="AE72" s="508"/>
      <c r="AF72" s="504"/>
      <c r="AG72" s="504"/>
      <c r="AH72" s="504"/>
      <c r="AI72" s="504"/>
      <c r="AJ72" s="504"/>
      <c r="AK72" s="504"/>
      <c r="AL72" s="504"/>
      <c r="AM72" s="504"/>
      <c r="AN72" s="504"/>
      <c r="AO72" s="504"/>
      <c r="AP72" s="504"/>
      <c r="AQ72" s="504"/>
      <c r="AR72" s="505"/>
      <c r="AS72" s="505"/>
      <c r="AT72" s="507"/>
      <c r="AU72" s="693">
        <f>'[2]3rd Trimester Progress(Pradesh '!AB72</f>
        <v>4.8</v>
      </c>
      <c r="AV72" s="693">
        <f t="shared" si="9"/>
        <v>0</v>
      </c>
      <c r="AW72" s="305"/>
      <c r="AX72" s="305"/>
      <c r="AY72" s="305"/>
      <c r="AZ72" s="305"/>
      <c r="BA72" s="305"/>
      <c r="BB72" s="305"/>
      <c r="BC72" s="305"/>
      <c r="BD72" s="305"/>
    </row>
    <row r="73" spans="1:56" s="306" customFormat="1" ht="24">
      <c r="A73" s="433" t="s">
        <v>1050</v>
      </c>
      <c r="B73" s="494" t="s">
        <v>914</v>
      </c>
      <c r="C73" s="534" t="s">
        <v>1174</v>
      </c>
      <c r="D73" s="532"/>
      <c r="E73" s="284"/>
      <c r="F73" s="284"/>
      <c r="G73" s="284"/>
      <c r="H73" s="284"/>
      <c r="I73" s="284"/>
      <c r="J73" s="504">
        <v>1</v>
      </c>
      <c r="K73" s="504">
        <f t="shared" si="22"/>
        <v>0.39359038065109686</v>
      </c>
      <c r="L73" s="506">
        <v>8</v>
      </c>
      <c r="M73" s="504">
        <f t="shared" si="3"/>
        <v>8</v>
      </c>
      <c r="N73" s="504">
        <v>1</v>
      </c>
      <c r="O73" s="504">
        <f t="shared" si="23"/>
        <v>9.8397595162774215E-2</v>
      </c>
      <c r="P73" s="504">
        <v>2</v>
      </c>
      <c r="Q73" s="504">
        <v>0.5</v>
      </c>
      <c r="R73" s="504">
        <f t="shared" si="10"/>
        <v>4.9198797581387108E-2</v>
      </c>
      <c r="S73" s="504">
        <f t="shared" si="4"/>
        <v>50</v>
      </c>
      <c r="T73" s="504">
        <v>7.5881999999999996</v>
      </c>
      <c r="U73" s="504">
        <f t="shared" si="5"/>
        <v>379.40999999999997</v>
      </c>
      <c r="V73" s="504">
        <f t="shared" si="6"/>
        <v>1</v>
      </c>
      <c r="W73" s="504">
        <f t="shared" si="2"/>
        <v>0.39359038065109686</v>
      </c>
      <c r="X73" s="504">
        <f t="shared" si="7"/>
        <v>8</v>
      </c>
      <c r="Y73" s="504">
        <v>1</v>
      </c>
      <c r="Z73" s="504">
        <f t="shared" si="11"/>
        <v>0.39359038065109686</v>
      </c>
      <c r="AA73" s="504">
        <f t="shared" si="24"/>
        <v>100</v>
      </c>
      <c r="AB73" s="504">
        <v>7.5881999999999996</v>
      </c>
      <c r="AC73" s="504">
        <f t="shared" si="8"/>
        <v>94.852499999999992</v>
      </c>
      <c r="AD73" s="504"/>
      <c r="AE73" s="508"/>
      <c r="AF73" s="504"/>
      <c r="AG73" s="504"/>
      <c r="AH73" s="504"/>
      <c r="AI73" s="504"/>
      <c r="AJ73" s="504"/>
      <c r="AK73" s="504"/>
      <c r="AL73" s="504"/>
      <c r="AM73" s="504"/>
      <c r="AN73" s="504"/>
      <c r="AO73" s="504"/>
      <c r="AP73" s="504"/>
      <c r="AQ73" s="504"/>
      <c r="AR73" s="505"/>
      <c r="AS73" s="505"/>
      <c r="AT73" s="507"/>
      <c r="AU73" s="693">
        <f>'[2]3rd Trimester Progress(Pradesh '!AB73</f>
        <v>0</v>
      </c>
      <c r="AV73" s="693">
        <f t="shared" si="9"/>
        <v>7.5881999999999996</v>
      </c>
      <c r="AW73" s="305"/>
      <c r="AX73" s="305"/>
      <c r="AY73" s="305"/>
      <c r="AZ73" s="305"/>
      <c r="BA73" s="305"/>
      <c r="BB73" s="305"/>
      <c r="BC73" s="305"/>
      <c r="BD73" s="305"/>
    </row>
    <row r="74" spans="1:56" s="306" customFormat="1" ht="24.75" customHeight="1">
      <c r="A74" s="433" t="s">
        <v>1051</v>
      </c>
      <c r="B74" s="491" t="s">
        <v>915</v>
      </c>
      <c r="C74" s="534" t="s">
        <v>1174</v>
      </c>
      <c r="D74" s="532"/>
      <c r="E74" s="284"/>
      <c r="F74" s="284"/>
      <c r="G74" s="284"/>
      <c r="H74" s="284"/>
      <c r="I74" s="284"/>
      <c r="J74" s="504">
        <v>1</v>
      </c>
      <c r="K74" s="504">
        <f t="shared" si="22"/>
        <v>0.24599398790693555</v>
      </c>
      <c r="L74" s="506">
        <v>5</v>
      </c>
      <c r="M74" s="504">
        <f t="shared" si="3"/>
        <v>5</v>
      </c>
      <c r="N74" s="504">
        <v>1</v>
      </c>
      <c r="O74" s="504">
        <f t="shared" si="23"/>
        <v>6.1498496976733888E-2</v>
      </c>
      <c r="P74" s="504">
        <v>1.25</v>
      </c>
      <c r="Q74" s="504">
        <v>0.5</v>
      </c>
      <c r="R74" s="504">
        <f t="shared" si="10"/>
        <v>3.0749248488366944E-2</v>
      </c>
      <c r="S74" s="504">
        <f t="shared" si="4"/>
        <v>50</v>
      </c>
      <c r="T74" s="504">
        <v>4.7258800000000001</v>
      </c>
      <c r="U74" s="504">
        <f t="shared" si="5"/>
        <v>378.07040000000001</v>
      </c>
      <c r="V74" s="504">
        <f t="shared" si="6"/>
        <v>1</v>
      </c>
      <c r="W74" s="504">
        <f t="shared" si="2"/>
        <v>0.24599398790693555</v>
      </c>
      <c r="X74" s="504">
        <f t="shared" si="7"/>
        <v>5</v>
      </c>
      <c r="Y74" s="504">
        <v>1</v>
      </c>
      <c r="Z74" s="504">
        <f t="shared" si="11"/>
        <v>0.24599398790693555</v>
      </c>
      <c r="AA74" s="504">
        <f t="shared" si="24"/>
        <v>100</v>
      </c>
      <c r="AB74" s="504">
        <v>4.7258800000000001</v>
      </c>
      <c r="AC74" s="504">
        <f t="shared" si="8"/>
        <v>94.517600000000002</v>
      </c>
      <c r="AD74" s="504"/>
      <c r="AE74" s="508"/>
      <c r="AF74" s="504"/>
      <c r="AG74" s="504"/>
      <c r="AH74" s="504"/>
      <c r="AI74" s="504"/>
      <c r="AJ74" s="504"/>
      <c r="AK74" s="504"/>
      <c r="AL74" s="504"/>
      <c r="AM74" s="504"/>
      <c r="AN74" s="504"/>
      <c r="AO74" s="504"/>
      <c r="AP74" s="504"/>
      <c r="AQ74" s="504"/>
      <c r="AR74" s="505"/>
      <c r="AS74" s="505"/>
      <c r="AT74" s="507"/>
      <c r="AU74" s="693">
        <f>'[2]3rd Trimester Progress(Pradesh '!AB74</f>
        <v>0</v>
      </c>
      <c r="AV74" s="693">
        <f t="shared" si="9"/>
        <v>4.7258800000000001</v>
      </c>
      <c r="AW74" s="305"/>
      <c r="AX74" s="305"/>
      <c r="AY74" s="305"/>
      <c r="AZ74" s="305"/>
      <c r="BA74" s="305"/>
      <c r="BB74" s="305"/>
      <c r="BC74" s="305"/>
      <c r="BD74" s="305"/>
    </row>
    <row r="75" spans="1:56" s="306" customFormat="1" ht="24">
      <c r="A75" s="433" t="s">
        <v>1052</v>
      </c>
      <c r="B75" s="494" t="s">
        <v>916</v>
      </c>
      <c r="C75" s="534" t="s">
        <v>1174</v>
      </c>
      <c r="D75" s="532"/>
      <c r="E75" s="284"/>
      <c r="F75" s="284"/>
      <c r="G75" s="284"/>
      <c r="H75" s="284"/>
      <c r="I75" s="284"/>
      <c r="J75" s="504">
        <v>1</v>
      </c>
      <c r="K75" s="504">
        <f t="shared" si="22"/>
        <v>0.24599398790693555</v>
      </c>
      <c r="L75" s="506">
        <v>5</v>
      </c>
      <c r="M75" s="504">
        <f t="shared" si="3"/>
        <v>5</v>
      </c>
      <c r="N75" s="504">
        <v>1</v>
      </c>
      <c r="O75" s="504">
        <f t="shared" si="23"/>
        <v>6.1498496976733888E-2</v>
      </c>
      <c r="P75" s="504">
        <v>1.25</v>
      </c>
      <c r="Q75" s="504">
        <v>1</v>
      </c>
      <c r="R75" s="504">
        <f t="shared" si="10"/>
        <v>6.1498496976733888E-2</v>
      </c>
      <c r="S75" s="504">
        <f t="shared" si="4"/>
        <v>100</v>
      </c>
      <c r="T75" s="504">
        <v>4.65428</v>
      </c>
      <c r="U75" s="504">
        <f t="shared" si="5"/>
        <v>372.3424</v>
      </c>
      <c r="V75" s="504">
        <f t="shared" si="6"/>
        <v>1</v>
      </c>
      <c r="W75" s="504">
        <f t="shared" si="2"/>
        <v>0.24599398790693555</v>
      </c>
      <c r="X75" s="504">
        <f t="shared" si="7"/>
        <v>5</v>
      </c>
      <c r="Y75" s="504">
        <v>1</v>
      </c>
      <c r="Z75" s="504">
        <f t="shared" si="11"/>
        <v>0.24599398790693555</v>
      </c>
      <c r="AA75" s="504">
        <f t="shared" si="24"/>
        <v>100</v>
      </c>
      <c r="AB75" s="504">
        <v>4.65428</v>
      </c>
      <c r="AC75" s="504">
        <f t="shared" si="8"/>
        <v>93.085599999999999</v>
      </c>
      <c r="AD75" s="504"/>
      <c r="AE75" s="508"/>
      <c r="AF75" s="504"/>
      <c r="AG75" s="504"/>
      <c r="AH75" s="504"/>
      <c r="AI75" s="504"/>
      <c r="AJ75" s="504"/>
      <c r="AK75" s="504"/>
      <c r="AL75" s="504"/>
      <c r="AM75" s="504"/>
      <c r="AN75" s="504"/>
      <c r="AO75" s="504"/>
      <c r="AP75" s="504"/>
      <c r="AQ75" s="504"/>
      <c r="AR75" s="505"/>
      <c r="AS75" s="505"/>
      <c r="AT75" s="507"/>
      <c r="AU75" s="693">
        <f>'[2]3rd Trimester Progress(Pradesh '!AB75</f>
        <v>0</v>
      </c>
      <c r="AV75" s="693">
        <f t="shared" si="9"/>
        <v>4.65428</v>
      </c>
      <c r="AW75" s="305"/>
      <c r="AX75" s="305"/>
      <c r="AY75" s="305"/>
      <c r="AZ75" s="305"/>
      <c r="BA75" s="305"/>
      <c r="BB75" s="305"/>
      <c r="BC75" s="305"/>
      <c r="BD75" s="305"/>
    </row>
    <row r="76" spans="1:56" s="306" customFormat="1" ht="24.75" customHeight="1">
      <c r="A76" s="433" t="s">
        <v>1053</v>
      </c>
      <c r="B76" s="491" t="s">
        <v>917</v>
      </c>
      <c r="C76" s="534" t="s">
        <v>1174</v>
      </c>
      <c r="D76" s="532"/>
      <c r="E76" s="284"/>
      <c r="F76" s="284"/>
      <c r="G76" s="284"/>
      <c r="H76" s="284"/>
      <c r="I76" s="284"/>
      <c r="J76" s="504">
        <v>1</v>
      </c>
      <c r="K76" s="504">
        <f t="shared" si="22"/>
        <v>0.14759639274416131</v>
      </c>
      <c r="L76" s="506">
        <v>3</v>
      </c>
      <c r="M76" s="504">
        <f t="shared" si="3"/>
        <v>3</v>
      </c>
      <c r="N76" s="504">
        <v>1</v>
      </c>
      <c r="O76" s="504">
        <f t="shared" si="23"/>
        <v>0</v>
      </c>
      <c r="P76" s="504">
        <v>0</v>
      </c>
      <c r="Q76" s="504">
        <v>0</v>
      </c>
      <c r="R76" s="504">
        <f t="shared" si="10"/>
        <v>0</v>
      </c>
      <c r="S76" s="504">
        <f t="shared" si="4"/>
        <v>0</v>
      </c>
      <c r="T76" s="504">
        <v>0</v>
      </c>
      <c r="U76" s="504">
        <f t="shared" si="5"/>
        <v>0</v>
      </c>
      <c r="V76" s="504">
        <f t="shared" si="6"/>
        <v>1</v>
      </c>
      <c r="W76" s="504">
        <f t="shared" si="2"/>
        <v>0.14759639274416131</v>
      </c>
      <c r="X76" s="504">
        <f t="shared" si="7"/>
        <v>3</v>
      </c>
      <c r="Y76" s="504">
        <v>0</v>
      </c>
      <c r="Z76" s="504">
        <f t="shared" si="11"/>
        <v>0</v>
      </c>
      <c r="AA76" s="504">
        <f t="shared" si="24"/>
        <v>0</v>
      </c>
      <c r="AB76" s="504">
        <v>0</v>
      </c>
      <c r="AC76" s="504">
        <f t="shared" si="8"/>
        <v>0</v>
      </c>
      <c r="AD76" s="504"/>
      <c r="AE76" s="508"/>
      <c r="AF76" s="504"/>
      <c r="AG76" s="504"/>
      <c r="AH76" s="504"/>
      <c r="AI76" s="504"/>
      <c r="AJ76" s="504"/>
      <c r="AK76" s="504"/>
      <c r="AL76" s="504"/>
      <c r="AM76" s="504"/>
      <c r="AN76" s="504"/>
      <c r="AO76" s="504"/>
      <c r="AP76" s="504"/>
      <c r="AQ76" s="504"/>
      <c r="AR76" s="505"/>
      <c r="AS76" s="505"/>
      <c r="AT76" s="507"/>
      <c r="AU76" s="693">
        <f>'[2]3rd Trimester Progress(Pradesh '!AB76</f>
        <v>0</v>
      </c>
      <c r="AV76" s="693">
        <f t="shared" si="9"/>
        <v>0</v>
      </c>
      <c r="AW76" s="305"/>
      <c r="AX76" s="305"/>
      <c r="AY76" s="305"/>
      <c r="AZ76" s="305"/>
      <c r="BA76" s="305"/>
      <c r="BB76" s="305"/>
      <c r="BC76" s="305"/>
      <c r="BD76" s="305"/>
    </row>
    <row r="77" spans="1:56" s="306" customFormat="1" ht="24">
      <c r="A77" s="433" t="s">
        <v>1054</v>
      </c>
      <c r="B77" s="491" t="s">
        <v>918</v>
      </c>
      <c r="C77" s="534" t="s">
        <v>1174</v>
      </c>
      <c r="D77" s="532"/>
      <c r="E77" s="284"/>
      <c r="F77" s="284"/>
      <c r="G77" s="284"/>
      <c r="H77" s="284"/>
      <c r="I77" s="284"/>
      <c r="J77" s="504">
        <v>1</v>
      </c>
      <c r="K77" s="504">
        <f t="shared" si="22"/>
        <v>0.7379819637208066</v>
      </c>
      <c r="L77" s="506">
        <v>15</v>
      </c>
      <c r="M77" s="504">
        <f t="shared" si="3"/>
        <v>15</v>
      </c>
      <c r="N77" s="504">
        <v>1</v>
      </c>
      <c r="O77" s="504">
        <f t="shared" si="23"/>
        <v>0.18449549093020165</v>
      </c>
      <c r="P77" s="504">
        <v>3.75</v>
      </c>
      <c r="Q77" s="504">
        <v>0</v>
      </c>
      <c r="R77" s="504">
        <f t="shared" si="10"/>
        <v>0</v>
      </c>
      <c r="S77" s="504">
        <f t="shared" si="4"/>
        <v>0</v>
      </c>
      <c r="T77" s="504">
        <v>0</v>
      </c>
      <c r="U77" s="504">
        <f t="shared" si="5"/>
        <v>0</v>
      </c>
      <c r="V77" s="504">
        <f t="shared" si="6"/>
        <v>1</v>
      </c>
      <c r="W77" s="504">
        <f t="shared" si="2"/>
        <v>0.7379819637208066</v>
      </c>
      <c r="X77" s="504">
        <f t="shared" si="7"/>
        <v>15</v>
      </c>
      <c r="Y77" s="504">
        <v>0</v>
      </c>
      <c r="Z77" s="504">
        <f t="shared" si="11"/>
        <v>0</v>
      </c>
      <c r="AA77" s="504">
        <f t="shared" si="24"/>
        <v>0</v>
      </c>
      <c r="AB77" s="504">
        <v>0</v>
      </c>
      <c r="AC77" s="504">
        <f t="shared" si="8"/>
        <v>0</v>
      </c>
      <c r="AD77" s="504"/>
      <c r="AE77" s="508"/>
      <c r="AF77" s="504"/>
      <c r="AG77" s="504"/>
      <c r="AH77" s="504"/>
      <c r="AI77" s="504"/>
      <c r="AJ77" s="504"/>
      <c r="AK77" s="504"/>
      <c r="AL77" s="504"/>
      <c r="AM77" s="504"/>
      <c r="AN77" s="504"/>
      <c r="AO77" s="504"/>
      <c r="AP77" s="504"/>
      <c r="AQ77" s="504"/>
      <c r="AR77" s="505"/>
      <c r="AS77" s="505"/>
      <c r="AT77" s="507"/>
      <c r="AU77" s="693">
        <f>'[2]3rd Trimester Progress(Pradesh '!AB77</f>
        <v>0</v>
      </c>
      <c r="AV77" s="693">
        <f t="shared" si="9"/>
        <v>0</v>
      </c>
      <c r="AW77" s="305"/>
      <c r="AX77" s="305"/>
      <c r="AY77" s="305"/>
      <c r="AZ77" s="305"/>
      <c r="BA77" s="305"/>
      <c r="BB77" s="305"/>
      <c r="BC77" s="305"/>
      <c r="BD77" s="305"/>
    </row>
    <row r="78" spans="1:56" s="306" customFormat="1" ht="25.5" customHeight="1">
      <c r="A78" s="433" t="s">
        <v>1055</v>
      </c>
      <c r="B78" s="492" t="s">
        <v>919</v>
      </c>
      <c r="C78" s="534" t="s">
        <v>1174</v>
      </c>
      <c r="D78" s="532"/>
      <c r="E78" s="284"/>
      <c r="F78" s="284"/>
      <c r="G78" s="284"/>
      <c r="H78" s="284"/>
      <c r="I78" s="284"/>
      <c r="J78" s="504">
        <v>1</v>
      </c>
      <c r="K78" s="504">
        <f t="shared" si="22"/>
        <v>0.14759639274416131</v>
      </c>
      <c r="L78" s="506">
        <v>3</v>
      </c>
      <c r="M78" s="504">
        <f t="shared" si="3"/>
        <v>3</v>
      </c>
      <c r="N78" s="504">
        <v>1</v>
      </c>
      <c r="O78" s="504">
        <f t="shared" si="23"/>
        <v>3.6899098186040327E-2</v>
      </c>
      <c r="P78" s="504">
        <v>0.75</v>
      </c>
      <c r="Q78" s="504">
        <v>1</v>
      </c>
      <c r="R78" s="504">
        <f t="shared" si="10"/>
        <v>3.6899098186040327E-2</v>
      </c>
      <c r="S78" s="504">
        <f t="shared" si="4"/>
        <v>100</v>
      </c>
      <c r="T78" s="504">
        <v>2.5940400000000001</v>
      </c>
      <c r="U78" s="504">
        <f t="shared" si="5"/>
        <v>345.87200000000001</v>
      </c>
      <c r="V78" s="504">
        <f t="shared" si="6"/>
        <v>1</v>
      </c>
      <c r="W78" s="504">
        <f t="shared" si="2"/>
        <v>0.14759639274416131</v>
      </c>
      <c r="X78" s="504">
        <f t="shared" si="7"/>
        <v>3</v>
      </c>
      <c r="Y78" s="504">
        <v>1</v>
      </c>
      <c r="Z78" s="504">
        <f t="shared" si="11"/>
        <v>0.14759639274416131</v>
      </c>
      <c r="AA78" s="504">
        <f t="shared" si="24"/>
        <v>100</v>
      </c>
      <c r="AB78" s="504">
        <v>2.5940400000000001</v>
      </c>
      <c r="AC78" s="504">
        <f t="shared" si="8"/>
        <v>86.468000000000004</v>
      </c>
      <c r="AD78" s="504"/>
      <c r="AE78" s="508"/>
      <c r="AF78" s="504"/>
      <c r="AG78" s="504"/>
      <c r="AH78" s="504"/>
      <c r="AI78" s="504"/>
      <c r="AJ78" s="504"/>
      <c r="AK78" s="504"/>
      <c r="AL78" s="504"/>
      <c r="AM78" s="504"/>
      <c r="AN78" s="504"/>
      <c r="AO78" s="504"/>
      <c r="AP78" s="504"/>
      <c r="AQ78" s="504"/>
      <c r="AR78" s="505"/>
      <c r="AS78" s="505"/>
      <c r="AT78" s="507"/>
      <c r="AU78" s="693">
        <f>'[2]3rd Trimester Progress(Pradesh '!AB78</f>
        <v>0</v>
      </c>
      <c r="AV78" s="693">
        <f t="shared" si="9"/>
        <v>2.5940400000000001</v>
      </c>
      <c r="AW78" s="305"/>
      <c r="AX78" s="305"/>
      <c r="AY78" s="305"/>
      <c r="AZ78" s="305"/>
      <c r="BA78" s="305"/>
      <c r="BB78" s="305"/>
      <c r="BC78" s="305"/>
      <c r="BD78" s="305"/>
    </row>
    <row r="79" spans="1:56" s="306" customFormat="1" ht="24">
      <c r="A79" s="433" t="s">
        <v>1056</v>
      </c>
      <c r="B79" s="492" t="s">
        <v>920</v>
      </c>
      <c r="C79" s="534" t="s">
        <v>1174</v>
      </c>
      <c r="D79" s="532"/>
      <c r="E79" s="284"/>
      <c r="F79" s="284"/>
      <c r="G79" s="284"/>
      <c r="H79" s="284"/>
      <c r="I79" s="284"/>
      <c r="J79" s="504">
        <v>1</v>
      </c>
      <c r="K79" s="504">
        <f t="shared" si="22"/>
        <v>0.39359038065109686</v>
      </c>
      <c r="L79" s="506">
        <v>8</v>
      </c>
      <c r="M79" s="504">
        <f t="shared" si="3"/>
        <v>8</v>
      </c>
      <c r="N79" s="504">
        <v>1</v>
      </c>
      <c r="O79" s="504">
        <f t="shared" si="23"/>
        <v>9.8397595162774215E-2</v>
      </c>
      <c r="P79" s="504">
        <v>2</v>
      </c>
      <c r="Q79" s="504">
        <v>0</v>
      </c>
      <c r="R79" s="504">
        <f t="shared" si="10"/>
        <v>0</v>
      </c>
      <c r="S79" s="504">
        <f t="shared" si="4"/>
        <v>0</v>
      </c>
      <c r="T79" s="504">
        <v>0</v>
      </c>
      <c r="U79" s="504">
        <f t="shared" si="5"/>
        <v>0</v>
      </c>
      <c r="V79" s="504">
        <f t="shared" si="6"/>
        <v>1</v>
      </c>
      <c r="W79" s="504">
        <f t="shared" si="2"/>
        <v>0.39359038065109686</v>
      </c>
      <c r="X79" s="504">
        <f t="shared" si="7"/>
        <v>8</v>
      </c>
      <c r="Y79" s="504">
        <v>0</v>
      </c>
      <c r="Z79" s="504">
        <f t="shared" si="11"/>
        <v>0</v>
      </c>
      <c r="AA79" s="504">
        <f t="shared" si="24"/>
        <v>0</v>
      </c>
      <c r="AB79" s="504">
        <v>0</v>
      </c>
      <c r="AC79" s="504">
        <f t="shared" si="8"/>
        <v>0</v>
      </c>
      <c r="AD79" s="504"/>
      <c r="AE79" s="508"/>
      <c r="AF79" s="504"/>
      <c r="AG79" s="504"/>
      <c r="AH79" s="504"/>
      <c r="AI79" s="504"/>
      <c r="AJ79" s="504"/>
      <c r="AK79" s="504"/>
      <c r="AL79" s="504"/>
      <c r="AM79" s="504"/>
      <c r="AN79" s="504"/>
      <c r="AO79" s="504"/>
      <c r="AP79" s="504"/>
      <c r="AQ79" s="504"/>
      <c r="AR79" s="505"/>
      <c r="AS79" s="505"/>
      <c r="AT79" s="507"/>
      <c r="AU79" s="693">
        <f>'[2]3rd Trimester Progress(Pradesh '!AB79</f>
        <v>0</v>
      </c>
      <c r="AV79" s="693">
        <f t="shared" si="9"/>
        <v>0</v>
      </c>
      <c r="AW79" s="305"/>
      <c r="AX79" s="305"/>
      <c r="AY79" s="305"/>
      <c r="AZ79" s="305"/>
      <c r="BA79" s="305"/>
      <c r="BB79" s="305"/>
      <c r="BC79" s="305"/>
      <c r="BD79" s="305"/>
    </row>
    <row r="80" spans="1:56" s="306" customFormat="1" ht="24.75" customHeight="1">
      <c r="A80" s="433" t="s">
        <v>1057</v>
      </c>
      <c r="B80" s="492" t="s">
        <v>921</v>
      </c>
      <c r="C80" s="534" t="s">
        <v>1174</v>
      </c>
      <c r="D80" s="532"/>
      <c r="E80" s="284"/>
      <c r="F80" s="284"/>
      <c r="G80" s="284"/>
      <c r="H80" s="284"/>
      <c r="I80" s="284"/>
      <c r="J80" s="504">
        <v>1</v>
      </c>
      <c r="K80" s="504">
        <f t="shared" si="22"/>
        <v>0.4919879758138711</v>
      </c>
      <c r="L80" s="506">
        <v>10</v>
      </c>
      <c r="M80" s="504">
        <f t="shared" si="3"/>
        <v>10</v>
      </c>
      <c r="N80" s="504">
        <v>1</v>
      </c>
      <c r="O80" s="504">
        <f t="shared" si="23"/>
        <v>0.12299699395346778</v>
      </c>
      <c r="P80" s="504">
        <v>2.5</v>
      </c>
      <c r="Q80" s="504">
        <v>0</v>
      </c>
      <c r="R80" s="504">
        <f t="shared" si="10"/>
        <v>0</v>
      </c>
      <c r="S80" s="504">
        <f t="shared" si="4"/>
        <v>0</v>
      </c>
      <c r="T80" s="504">
        <v>0</v>
      </c>
      <c r="U80" s="504">
        <f t="shared" si="5"/>
        <v>0</v>
      </c>
      <c r="V80" s="504">
        <f t="shared" si="6"/>
        <v>1</v>
      </c>
      <c r="W80" s="504">
        <f t="shared" si="2"/>
        <v>0.4919879758138711</v>
      </c>
      <c r="X80" s="504">
        <f t="shared" si="7"/>
        <v>10</v>
      </c>
      <c r="Y80" s="504">
        <v>0</v>
      </c>
      <c r="Z80" s="504">
        <f t="shared" si="11"/>
        <v>0</v>
      </c>
      <c r="AA80" s="504">
        <f t="shared" si="24"/>
        <v>0</v>
      </c>
      <c r="AB80" s="504">
        <v>0</v>
      </c>
      <c r="AC80" s="504">
        <f t="shared" si="8"/>
        <v>0</v>
      </c>
      <c r="AD80" s="504"/>
      <c r="AE80" s="508"/>
      <c r="AF80" s="504"/>
      <c r="AG80" s="504"/>
      <c r="AH80" s="504"/>
      <c r="AI80" s="504"/>
      <c r="AJ80" s="504"/>
      <c r="AK80" s="504"/>
      <c r="AL80" s="504"/>
      <c r="AM80" s="504"/>
      <c r="AN80" s="504"/>
      <c r="AO80" s="504"/>
      <c r="AP80" s="504"/>
      <c r="AQ80" s="504"/>
      <c r="AR80" s="505"/>
      <c r="AS80" s="505"/>
      <c r="AT80" s="507"/>
      <c r="AU80" s="693">
        <f>'[2]3rd Trimester Progress(Pradesh '!AB80</f>
        <v>0</v>
      </c>
      <c r="AV80" s="693">
        <f t="shared" si="9"/>
        <v>0</v>
      </c>
      <c r="AW80" s="305"/>
      <c r="AX80" s="305"/>
      <c r="AY80" s="305"/>
      <c r="AZ80" s="305"/>
      <c r="BA80" s="305"/>
      <c r="BB80" s="305"/>
      <c r="BC80" s="305"/>
      <c r="BD80" s="305"/>
    </row>
    <row r="81" spans="1:56" s="306" customFormat="1" ht="24.75" customHeight="1">
      <c r="A81" s="433" t="s">
        <v>1058</v>
      </c>
      <c r="B81" s="492" t="s">
        <v>922</v>
      </c>
      <c r="C81" s="534" t="s">
        <v>1174</v>
      </c>
      <c r="D81" s="532"/>
      <c r="E81" s="284"/>
      <c r="F81" s="284"/>
      <c r="G81" s="284"/>
      <c r="H81" s="284"/>
      <c r="I81" s="284"/>
      <c r="J81" s="504">
        <v>1</v>
      </c>
      <c r="K81" s="504">
        <f t="shared" si="22"/>
        <v>0</v>
      </c>
      <c r="L81" s="506">
        <v>0</v>
      </c>
      <c r="M81" s="504">
        <f t="shared" si="3"/>
        <v>0</v>
      </c>
      <c r="N81" s="504">
        <v>1</v>
      </c>
      <c r="O81" s="504">
        <f t="shared" si="23"/>
        <v>0</v>
      </c>
      <c r="P81" s="504">
        <v>0</v>
      </c>
      <c r="Q81" s="504">
        <v>0</v>
      </c>
      <c r="R81" s="504">
        <f t="shared" si="10"/>
        <v>0</v>
      </c>
      <c r="S81" s="504">
        <v>0</v>
      </c>
      <c r="T81" s="504">
        <v>0</v>
      </c>
      <c r="U81" s="504">
        <f t="shared" si="5"/>
        <v>0</v>
      </c>
      <c r="V81" s="504">
        <f t="shared" si="6"/>
        <v>1</v>
      </c>
      <c r="W81" s="504">
        <f t="shared" si="2"/>
        <v>0</v>
      </c>
      <c r="X81" s="504">
        <f t="shared" si="7"/>
        <v>0</v>
      </c>
      <c r="Y81" s="504">
        <v>0</v>
      </c>
      <c r="Z81" s="504">
        <f t="shared" si="11"/>
        <v>0</v>
      </c>
      <c r="AA81" s="504">
        <v>0</v>
      </c>
      <c r="AB81" s="504">
        <v>0</v>
      </c>
      <c r="AC81" s="504">
        <f t="shared" si="8"/>
        <v>0</v>
      </c>
      <c r="AD81" s="504"/>
      <c r="AE81" s="508"/>
      <c r="AF81" s="504"/>
      <c r="AG81" s="504"/>
      <c r="AH81" s="504"/>
      <c r="AI81" s="504"/>
      <c r="AJ81" s="504"/>
      <c r="AK81" s="504"/>
      <c r="AL81" s="504"/>
      <c r="AM81" s="504"/>
      <c r="AN81" s="504"/>
      <c r="AO81" s="504"/>
      <c r="AP81" s="504"/>
      <c r="AQ81" s="504"/>
      <c r="AR81" s="505"/>
      <c r="AS81" s="505"/>
      <c r="AT81" s="507"/>
      <c r="AU81" s="693">
        <f>'[2]3rd Trimester Progress(Pradesh '!AB81</f>
        <v>0</v>
      </c>
      <c r="AV81" s="693">
        <f t="shared" si="9"/>
        <v>0</v>
      </c>
      <c r="AW81" s="305"/>
      <c r="AX81" s="305"/>
      <c r="AY81" s="305"/>
      <c r="AZ81" s="305"/>
      <c r="BA81" s="305"/>
      <c r="BB81" s="305"/>
      <c r="BC81" s="305"/>
      <c r="BD81" s="305"/>
    </row>
    <row r="82" spans="1:56" s="306" customFormat="1" ht="24">
      <c r="A82" s="433" t="s">
        <v>1059</v>
      </c>
      <c r="B82" s="492" t="s">
        <v>923</v>
      </c>
      <c r="C82" s="534" t="s">
        <v>1174</v>
      </c>
      <c r="D82" s="532"/>
      <c r="E82" s="284"/>
      <c r="F82" s="284"/>
      <c r="G82" s="284"/>
      <c r="H82" s="284"/>
      <c r="I82" s="284"/>
      <c r="J82" s="504">
        <v>1</v>
      </c>
      <c r="K82" s="504">
        <f t="shared" si="22"/>
        <v>0</v>
      </c>
      <c r="L82" s="506">
        <v>0</v>
      </c>
      <c r="M82" s="504">
        <f t="shared" si="3"/>
        <v>0</v>
      </c>
      <c r="N82" s="504">
        <v>1</v>
      </c>
      <c r="O82" s="504">
        <f t="shared" si="23"/>
        <v>0</v>
      </c>
      <c r="P82" s="504">
        <v>0</v>
      </c>
      <c r="Q82" s="504">
        <v>0</v>
      </c>
      <c r="R82" s="504">
        <f t="shared" si="10"/>
        <v>0</v>
      </c>
      <c r="S82" s="504">
        <v>0</v>
      </c>
      <c r="T82" s="504">
        <v>0</v>
      </c>
      <c r="U82" s="504">
        <f t="shared" si="5"/>
        <v>0</v>
      </c>
      <c r="V82" s="504">
        <f t="shared" si="6"/>
        <v>1</v>
      </c>
      <c r="W82" s="504">
        <f t="shared" si="2"/>
        <v>0</v>
      </c>
      <c r="X82" s="504">
        <f t="shared" si="7"/>
        <v>0</v>
      </c>
      <c r="Y82" s="504">
        <v>0</v>
      </c>
      <c r="Z82" s="504">
        <f t="shared" si="11"/>
        <v>0</v>
      </c>
      <c r="AA82" s="504">
        <v>0</v>
      </c>
      <c r="AB82" s="504">
        <v>0</v>
      </c>
      <c r="AC82" s="504">
        <f t="shared" si="8"/>
        <v>0</v>
      </c>
      <c r="AD82" s="504"/>
      <c r="AE82" s="508"/>
      <c r="AF82" s="504"/>
      <c r="AG82" s="504"/>
      <c r="AH82" s="504"/>
      <c r="AI82" s="504"/>
      <c r="AJ82" s="504"/>
      <c r="AK82" s="504"/>
      <c r="AL82" s="504"/>
      <c r="AM82" s="504"/>
      <c r="AN82" s="504"/>
      <c r="AO82" s="504"/>
      <c r="AP82" s="504"/>
      <c r="AQ82" s="504"/>
      <c r="AR82" s="505"/>
      <c r="AS82" s="505"/>
      <c r="AT82" s="507"/>
      <c r="AU82" s="693">
        <f>'[2]3rd Trimester Progress(Pradesh '!AB82</f>
        <v>0</v>
      </c>
      <c r="AV82" s="693">
        <f t="shared" si="9"/>
        <v>0</v>
      </c>
      <c r="AW82" s="305"/>
      <c r="AX82" s="305"/>
      <c r="AY82" s="305"/>
      <c r="AZ82" s="305"/>
      <c r="BA82" s="305"/>
      <c r="BB82" s="305"/>
      <c r="BC82" s="305"/>
      <c r="BD82" s="305"/>
    </row>
    <row r="83" spans="1:56" s="306" customFormat="1" ht="24">
      <c r="A83" s="433" t="s">
        <v>1060</v>
      </c>
      <c r="B83" s="492" t="s">
        <v>924</v>
      </c>
      <c r="C83" s="534" t="s">
        <v>1174</v>
      </c>
      <c r="D83" s="532"/>
      <c r="E83" s="284"/>
      <c r="F83" s="284"/>
      <c r="G83" s="284"/>
      <c r="H83" s="284"/>
      <c r="I83" s="284"/>
      <c r="J83" s="504">
        <v>1</v>
      </c>
      <c r="K83" s="504">
        <f t="shared" si="22"/>
        <v>0</v>
      </c>
      <c r="L83" s="506">
        <v>0</v>
      </c>
      <c r="M83" s="504">
        <f t="shared" si="3"/>
        <v>0</v>
      </c>
      <c r="N83" s="504">
        <v>1</v>
      </c>
      <c r="O83" s="504">
        <f t="shared" si="23"/>
        <v>0</v>
      </c>
      <c r="P83" s="504">
        <v>0</v>
      </c>
      <c r="Q83" s="504">
        <v>0</v>
      </c>
      <c r="R83" s="504">
        <f t="shared" si="10"/>
        <v>0</v>
      </c>
      <c r="S83" s="504">
        <v>0</v>
      </c>
      <c r="T83" s="504">
        <v>0</v>
      </c>
      <c r="U83" s="504">
        <f t="shared" si="5"/>
        <v>0</v>
      </c>
      <c r="V83" s="504">
        <f t="shared" si="6"/>
        <v>1</v>
      </c>
      <c r="W83" s="504">
        <f t="shared" si="2"/>
        <v>0</v>
      </c>
      <c r="X83" s="504">
        <f t="shared" si="7"/>
        <v>0</v>
      </c>
      <c r="Y83" s="504">
        <v>0</v>
      </c>
      <c r="Z83" s="504">
        <f t="shared" si="11"/>
        <v>0</v>
      </c>
      <c r="AA83" s="504">
        <v>0</v>
      </c>
      <c r="AB83" s="504">
        <v>0</v>
      </c>
      <c r="AC83" s="504">
        <f t="shared" si="8"/>
        <v>0</v>
      </c>
      <c r="AD83" s="504"/>
      <c r="AE83" s="508"/>
      <c r="AF83" s="504"/>
      <c r="AG83" s="504"/>
      <c r="AH83" s="504"/>
      <c r="AI83" s="504"/>
      <c r="AJ83" s="504"/>
      <c r="AK83" s="504"/>
      <c r="AL83" s="504"/>
      <c r="AM83" s="504"/>
      <c r="AN83" s="504"/>
      <c r="AO83" s="504"/>
      <c r="AP83" s="504"/>
      <c r="AQ83" s="504"/>
      <c r="AR83" s="505"/>
      <c r="AS83" s="505"/>
      <c r="AT83" s="507"/>
      <c r="AU83" s="693">
        <f>'[2]3rd Trimester Progress(Pradesh '!AB83</f>
        <v>0</v>
      </c>
      <c r="AV83" s="693">
        <f t="shared" si="9"/>
        <v>0</v>
      </c>
      <c r="AW83" s="305"/>
      <c r="AX83" s="305"/>
      <c r="AY83" s="305"/>
      <c r="AZ83" s="305"/>
      <c r="BA83" s="305"/>
      <c r="BB83" s="305"/>
      <c r="BC83" s="305"/>
      <c r="BD83" s="305"/>
    </row>
    <row r="84" spans="1:56" s="306" customFormat="1" ht="48">
      <c r="A84" s="433" t="s">
        <v>1061</v>
      </c>
      <c r="B84" s="486" t="s">
        <v>925</v>
      </c>
      <c r="C84" s="534" t="s">
        <v>1174</v>
      </c>
      <c r="D84" s="532"/>
      <c r="E84" s="284"/>
      <c r="F84" s="284"/>
      <c r="G84" s="284"/>
      <c r="H84" s="284"/>
      <c r="I84" s="284"/>
      <c r="J84" s="504">
        <v>1</v>
      </c>
      <c r="K84" s="504">
        <f t="shared" si="22"/>
        <v>0.4919879758138711</v>
      </c>
      <c r="L84" s="506">
        <v>10</v>
      </c>
      <c r="M84" s="504">
        <f t="shared" si="3"/>
        <v>10</v>
      </c>
      <c r="N84" s="504">
        <v>1</v>
      </c>
      <c r="O84" s="504">
        <f t="shared" si="23"/>
        <v>0.12299699395346778</v>
      </c>
      <c r="P84" s="504">
        <v>2.5</v>
      </c>
      <c r="Q84" s="504">
        <v>0.1</v>
      </c>
      <c r="R84" s="504">
        <f t="shared" si="10"/>
        <v>1.2299699395346779E-2</v>
      </c>
      <c r="S84" s="504">
        <f t="shared" si="4"/>
        <v>10</v>
      </c>
      <c r="T84" s="504">
        <v>9.8630800000000001</v>
      </c>
      <c r="U84" s="504">
        <f t="shared" si="5"/>
        <v>394.52319999999997</v>
      </c>
      <c r="V84" s="504">
        <f t="shared" si="6"/>
        <v>1</v>
      </c>
      <c r="W84" s="504">
        <f t="shared" si="2"/>
        <v>0.4919879758138711</v>
      </c>
      <c r="X84" s="504">
        <f t="shared" si="7"/>
        <v>10</v>
      </c>
      <c r="Y84" s="504">
        <v>1</v>
      </c>
      <c r="Z84" s="504">
        <f t="shared" si="11"/>
        <v>0.4919879758138711</v>
      </c>
      <c r="AA84" s="504">
        <f t="shared" si="24"/>
        <v>100</v>
      </c>
      <c r="AB84" s="504">
        <v>9.8630800000000001</v>
      </c>
      <c r="AC84" s="504">
        <f t="shared" si="8"/>
        <v>98.630799999999994</v>
      </c>
      <c r="AD84" s="504"/>
      <c r="AE84" s="508"/>
      <c r="AF84" s="504"/>
      <c r="AG84" s="504"/>
      <c r="AH84" s="504"/>
      <c r="AI84" s="504"/>
      <c r="AJ84" s="504"/>
      <c r="AK84" s="504"/>
      <c r="AL84" s="504"/>
      <c r="AM84" s="504"/>
      <c r="AN84" s="504"/>
      <c r="AO84" s="504"/>
      <c r="AP84" s="504"/>
      <c r="AQ84" s="504"/>
      <c r="AR84" s="505"/>
      <c r="AS84" s="505"/>
      <c r="AT84" s="507"/>
      <c r="AU84" s="693">
        <f>'[2]3rd Trimester Progress(Pradesh '!AB84</f>
        <v>0</v>
      </c>
      <c r="AV84" s="693">
        <f t="shared" si="9"/>
        <v>9.8630800000000001</v>
      </c>
      <c r="AW84" s="305"/>
      <c r="AX84" s="305"/>
      <c r="AY84" s="305"/>
      <c r="AZ84" s="305"/>
      <c r="BA84" s="305"/>
      <c r="BB84" s="305"/>
      <c r="BC84" s="305"/>
      <c r="BD84" s="305"/>
    </row>
    <row r="85" spans="1:56" s="306" customFormat="1" ht="48">
      <c r="A85" s="433" t="s">
        <v>1062</v>
      </c>
      <c r="B85" s="486" t="s">
        <v>926</v>
      </c>
      <c r="C85" s="534" t="s">
        <v>1175</v>
      </c>
      <c r="D85" s="532"/>
      <c r="E85" s="284"/>
      <c r="F85" s="284"/>
      <c r="G85" s="284"/>
      <c r="H85" s="284"/>
      <c r="I85" s="284"/>
      <c r="J85" s="504">
        <v>1</v>
      </c>
      <c r="K85" s="504">
        <f t="shared" si="22"/>
        <v>0</v>
      </c>
      <c r="L85" s="506">
        <v>0</v>
      </c>
      <c r="M85" s="504">
        <f t="shared" si="3"/>
        <v>0</v>
      </c>
      <c r="N85" s="504">
        <v>1</v>
      </c>
      <c r="O85" s="504">
        <f t="shared" si="23"/>
        <v>0</v>
      </c>
      <c r="P85" s="504">
        <v>0</v>
      </c>
      <c r="Q85" s="504">
        <v>0</v>
      </c>
      <c r="R85" s="504">
        <f t="shared" si="10"/>
        <v>0</v>
      </c>
      <c r="S85" s="504">
        <v>0</v>
      </c>
      <c r="T85" s="504">
        <v>0</v>
      </c>
      <c r="U85" s="504">
        <f t="shared" si="5"/>
        <v>0</v>
      </c>
      <c r="V85" s="504">
        <f t="shared" si="6"/>
        <v>1</v>
      </c>
      <c r="W85" s="504">
        <f t="shared" si="2"/>
        <v>0</v>
      </c>
      <c r="X85" s="504">
        <f t="shared" si="7"/>
        <v>0</v>
      </c>
      <c r="Y85" s="504">
        <v>0</v>
      </c>
      <c r="Z85" s="504">
        <f t="shared" si="11"/>
        <v>0</v>
      </c>
      <c r="AA85" s="504">
        <v>0</v>
      </c>
      <c r="AB85" s="504">
        <v>0</v>
      </c>
      <c r="AC85" s="504">
        <f t="shared" si="8"/>
        <v>0</v>
      </c>
      <c r="AD85" s="504"/>
      <c r="AE85" s="508"/>
      <c r="AF85" s="504"/>
      <c r="AG85" s="504"/>
      <c r="AH85" s="504"/>
      <c r="AI85" s="504"/>
      <c r="AJ85" s="504"/>
      <c r="AK85" s="504"/>
      <c r="AL85" s="504"/>
      <c r="AM85" s="504"/>
      <c r="AN85" s="504"/>
      <c r="AO85" s="504"/>
      <c r="AP85" s="504"/>
      <c r="AQ85" s="504"/>
      <c r="AR85" s="505"/>
      <c r="AS85" s="505"/>
      <c r="AT85" s="507"/>
      <c r="AU85" s="693">
        <f>'[2]3rd Trimester Progress(Pradesh '!AB85</f>
        <v>0</v>
      </c>
      <c r="AV85" s="693">
        <f t="shared" si="9"/>
        <v>0</v>
      </c>
      <c r="AW85" s="305"/>
      <c r="AX85" s="305"/>
      <c r="AY85" s="305"/>
      <c r="AZ85" s="305"/>
      <c r="BA85" s="305"/>
      <c r="BB85" s="305"/>
      <c r="BC85" s="305"/>
      <c r="BD85" s="305"/>
    </row>
    <row r="86" spans="1:56" s="306" customFormat="1" ht="24">
      <c r="A86" s="433" t="s">
        <v>1063</v>
      </c>
      <c r="B86" s="492" t="s">
        <v>927</v>
      </c>
      <c r="C86" s="534" t="s">
        <v>1175</v>
      </c>
      <c r="D86" s="532"/>
      <c r="E86" s="284"/>
      <c r="F86" s="284"/>
      <c r="G86" s="284"/>
      <c r="H86" s="284"/>
      <c r="I86" s="284"/>
      <c r="J86" s="504">
        <v>1</v>
      </c>
      <c r="K86" s="504">
        <f t="shared" si="22"/>
        <v>0.39359038065109686</v>
      </c>
      <c r="L86" s="506">
        <v>8</v>
      </c>
      <c r="M86" s="504">
        <f t="shared" si="3"/>
        <v>8</v>
      </c>
      <c r="N86" s="504">
        <v>1</v>
      </c>
      <c r="O86" s="504">
        <f t="shared" si="23"/>
        <v>9.8397595162774215E-2</v>
      </c>
      <c r="P86" s="504">
        <v>2</v>
      </c>
      <c r="Q86" s="504">
        <v>0.85</v>
      </c>
      <c r="R86" s="504">
        <f t="shared" si="10"/>
        <v>8.3637955888358081E-2</v>
      </c>
      <c r="S86" s="504">
        <f t="shared" si="4"/>
        <v>85</v>
      </c>
      <c r="T86" s="504">
        <v>7.9311299999999996</v>
      </c>
      <c r="U86" s="504">
        <f t="shared" si="5"/>
        <v>396.55649999999997</v>
      </c>
      <c r="V86" s="504">
        <f t="shared" si="6"/>
        <v>1</v>
      </c>
      <c r="W86" s="504">
        <f t="shared" si="2"/>
        <v>0.39359038065109686</v>
      </c>
      <c r="X86" s="504">
        <f t="shared" si="7"/>
        <v>8</v>
      </c>
      <c r="Y86" s="504">
        <v>1</v>
      </c>
      <c r="Z86" s="504">
        <f t="shared" si="11"/>
        <v>0.39359038065109686</v>
      </c>
      <c r="AA86" s="504">
        <f t="shared" si="24"/>
        <v>100</v>
      </c>
      <c r="AB86" s="504">
        <v>7.9311299999999996</v>
      </c>
      <c r="AC86" s="504">
        <f t="shared" si="8"/>
        <v>99.139124999999993</v>
      </c>
      <c r="AD86" s="504"/>
      <c r="AE86" s="508"/>
      <c r="AF86" s="504"/>
      <c r="AG86" s="504"/>
      <c r="AH86" s="504"/>
      <c r="AI86" s="504"/>
      <c r="AJ86" s="504"/>
      <c r="AK86" s="504"/>
      <c r="AL86" s="504"/>
      <c r="AM86" s="504"/>
      <c r="AN86" s="504"/>
      <c r="AO86" s="504"/>
      <c r="AP86" s="504"/>
      <c r="AQ86" s="504"/>
      <c r="AR86" s="505"/>
      <c r="AS86" s="505"/>
      <c r="AT86" s="507"/>
      <c r="AU86" s="693">
        <f>'[2]3rd Trimester Progress(Pradesh '!AB86</f>
        <v>0</v>
      </c>
      <c r="AV86" s="693">
        <f t="shared" si="9"/>
        <v>7.9311299999999996</v>
      </c>
      <c r="AW86" s="305"/>
      <c r="AX86" s="305"/>
      <c r="AY86" s="305"/>
      <c r="AZ86" s="305"/>
      <c r="BA86" s="305"/>
      <c r="BB86" s="305"/>
      <c r="BC86" s="305"/>
      <c r="BD86" s="305"/>
    </row>
    <row r="87" spans="1:56" s="306" customFormat="1" ht="25.5" customHeight="1">
      <c r="A87" s="433" t="s">
        <v>1064</v>
      </c>
      <c r="B87" s="486" t="s">
        <v>928</v>
      </c>
      <c r="C87" s="534" t="s">
        <v>1174</v>
      </c>
      <c r="D87" s="532"/>
      <c r="E87" s="284"/>
      <c r="F87" s="284"/>
      <c r="G87" s="284"/>
      <c r="H87" s="284"/>
      <c r="I87" s="284"/>
      <c r="J87" s="504">
        <v>1</v>
      </c>
      <c r="K87" s="504">
        <f t="shared" ref="K87:K88" si="25">(L87/$L$198)*100</f>
        <v>0.4919879758138711</v>
      </c>
      <c r="L87" s="506">
        <v>10</v>
      </c>
      <c r="M87" s="504">
        <f t="shared" si="3"/>
        <v>10</v>
      </c>
      <c r="N87" s="504">
        <v>1</v>
      </c>
      <c r="O87" s="504">
        <f t="shared" ref="O87:O88" si="26">P87/$L$198*100</f>
        <v>0.12299699395346778</v>
      </c>
      <c r="P87" s="504">
        <v>2.5</v>
      </c>
      <c r="Q87" s="504">
        <v>0.5</v>
      </c>
      <c r="R87" s="504">
        <f t="shared" si="10"/>
        <v>6.1498496976733888E-2</v>
      </c>
      <c r="S87" s="504">
        <f t="shared" si="4"/>
        <v>50</v>
      </c>
      <c r="T87" s="504">
        <v>4.8232500000000007</v>
      </c>
      <c r="U87" s="504">
        <f t="shared" si="5"/>
        <v>192.93000000000004</v>
      </c>
      <c r="V87" s="504">
        <f t="shared" si="6"/>
        <v>1</v>
      </c>
      <c r="W87" s="504">
        <f t="shared" ref="W87:W150" si="27">X87/$L$198*100</f>
        <v>0.4919879758138711</v>
      </c>
      <c r="X87" s="504">
        <f t="shared" si="7"/>
        <v>10</v>
      </c>
      <c r="Y87" s="504">
        <v>1</v>
      </c>
      <c r="Z87" s="504">
        <f t="shared" ref="Z87:Z120" si="28">IF(V87=0,Y87/J87*K87,Y87/V87*W87)</f>
        <v>0.4919879758138711</v>
      </c>
      <c r="AA87" s="504">
        <f t="shared" si="24"/>
        <v>100</v>
      </c>
      <c r="AB87" s="504">
        <v>9.6932500000000008</v>
      </c>
      <c r="AC87" s="504">
        <f t="shared" si="8"/>
        <v>96.932500000000005</v>
      </c>
      <c r="AD87" s="504"/>
      <c r="AE87" s="508"/>
      <c r="AF87" s="504"/>
      <c r="AG87" s="504"/>
      <c r="AH87" s="504"/>
      <c r="AI87" s="504"/>
      <c r="AJ87" s="504"/>
      <c r="AK87" s="504"/>
      <c r="AL87" s="504"/>
      <c r="AM87" s="504"/>
      <c r="AN87" s="504"/>
      <c r="AO87" s="504"/>
      <c r="AP87" s="504"/>
      <c r="AQ87" s="504"/>
      <c r="AR87" s="505"/>
      <c r="AS87" s="505"/>
      <c r="AT87" s="507"/>
      <c r="AU87" s="693">
        <f>'[2]3rd Trimester Progress(Pradesh '!AB87</f>
        <v>4.87</v>
      </c>
      <c r="AV87" s="693">
        <f t="shared" si="9"/>
        <v>4.8232500000000007</v>
      </c>
      <c r="AW87" s="305"/>
      <c r="AX87" s="305"/>
      <c r="AY87" s="305"/>
      <c r="AZ87" s="305"/>
      <c r="BA87" s="305"/>
      <c r="BB87" s="305"/>
      <c r="BC87" s="305"/>
      <c r="BD87" s="305"/>
    </row>
    <row r="88" spans="1:56" s="306" customFormat="1" ht="48">
      <c r="A88" s="433" t="s">
        <v>600</v>
      </c>
      <c r="B88" s="492" t="s">
        <v>929</v>
      </c>
      <c r="C88" s="534" t="s">
        <v>1174</v>
      </c>
      <c r="D88" s="532"/>
      <c r="E88" s="284"/>
      <c r="F88" s="284"/>
      <c r="G88" s="284"/>
      <c r="H88" s="284"/>
      <c r="I88" s="284"/>
      <c r="J88" s="504">
        <v>1</v>
      </c>
      <c r="K88" s="504">
        <f t="shared" si="25"/>
        <v>1.2299699395346777</v>
      </c>
      <c r="L88" s="506">
        <v>25</v>
      </c>
      <c r="M88" s="504">
        <f t="shared" ref="M88" si="29">L88</f>
        <v>25</v>
      </c>
      <c r="N88" s="504">
        <v>1</v>
      </c>
      <c r="O88" s="504">
        <f t="shared" si="26"/>
        <v>0.30749248488366943</v>
      </c>
      <c r="P88" s="504">
        <v>6.25</v>
      </c>
      <c r="Q88" s="504">
        <v>0.2</v>
      </c>
      <c r="R88" s="504">
        <f t="shared" ref="R88:R151" si="30">IF(N88=0,Q88/J88*K88,Q88/N88*O88)</f>
        <v>6.1498496976733888E-2</v>
      </c>
      <c r="S88" s="504">
        <f t="shared" ref="S88:S151" si="31">ROUND(IF(O88=0,R88/K88*100,R88/O88*100),2)</f>
        <v>20</v>
      </c>
      <c r="T88" s="504">
        <v>24.631730000000001</v>
      </c>
      <c r="U88" s="504">
        <f t="shared" ref="U88" si="32">IFERROR(T88/P88*100,0)</f>
        <v>394.10768000000002</v>
      </c>
      <c r="V88" s="504">
        <f t="shared" ref="V88" si="33">J88</f>
        <v>1</v>
      </c>
      <c r="W88" s="504">
        <f t="shared" si="27"/>
        <v>1.2299699395346777</v>
      </c>
      <c r="X88" s="504">
        <f t="shared" ref="X88:X151" si="34">M88</f>
        <v>25</v>
      </c>
      <c r="Y88" s="504">
        <v>1</v>
      </c>
      <c r="Z88" s="504">
        <f t="shared" si="28"/>
        <v>1.2299699395346777</v>
      </c>
      <c r="AA88" s="504">
        <f t="shared" si="24"/>
        <v>100</v>
      </c>
      <c r="AB88" s="504">
        <v>24.631730000000001</v>
      </c>
      <c r="AC88" s="504">
        <f t="shared" ref="AC88" si="35">IFERROR(AB88/X88*100,0)</f>
        <v>98.526920000000004</v>
      </c>
      <c r="AD88" s="504"/>
      <c r="AE88" s="508"/>
      <c r="AF88" s="504"/>
      <c r="AG88" s="504"/>
      <c r="AH88" s="504"/>
      <c r="AI88" s="504"/>
      <c r="AJ88" s="504"/>
      <c r="AK88" s="504"/>
      <c r="AL88" s="504"/>
      <c r="AM88" s="504"/>
      <c r="AN88" s="504"/>
      <c r="AO88" s="504"/>
      <c r="AP88" s="504"/>
      <c r="AQ88" s="504"/>
      <c r="AR88" s="505"/>
      <c r="AS88" s="505"/>
      <c r="AT88" s="507"/>
      <c r="AU88" s="693">
        <f>'[2]3rd Trimester Progress(Pradesh '!AB88</f>
        <v>0</v>
      </c>
      <c r="AV88" s="693">
        <f t="shared" ref="AV88:AV151" si="36">AB88-AU88</f>
        <v>24.631730000000001</v>
      </c>
      <c r="AW88" s="305"/>
      <c r="AX88" s="305"/>
      <c r="AY88" s="305"/>
      <c r="AZ88" s="305"/>
      <c r="BA88" s="305"/>
      <c r="BB88" s="305"/>
      <c r="BC88" s="305"/>
      <c r="BD88" s="305"/>
    </row>
    <row r="89" spans="1:56" s="306" customFormat="1" ht="24">
      <c r="A89" s="479">
        <v>4</v>
      </c>
      <c r="B89" s="485" t="s">
        <v>1300</v>
      </c>
      <c r="C89" s="534"/>
      <c r="D89" s="532"/>
      <c r="E89" s="284"/>
      <c r="F89" s="284"/>
      <c r="G89" s="284"/>
      <c r="H89" s="284"/>
      <c r="I89" s="284"/>
      <c r="J89" s="504"/>
      <c r="K89" s="504"/>
      <c r="L89" s="506"/>
      <c r="M89" s="504"/>
      <c r="N89" s="504"/>
      <c r="O89" s="504"/>
      <c r="P89" s="504"/>
      <c r="Q89" s="504"/>
      <c r="R89" s="504"/>
      <c r="S89" s="505"/>
      <c r="T89" s="504"/>
      <c r="U89" s="504"/>
      <c r="V89" s="504"/>
      <c r="W89" s="504"/>
      <c r="X89" s="504"/>
      <c r="Y89" s="504"/>
      <c r="Z89" s="504"/>
      <c r="AA89" s="504"/>
      <c r="AB89" s="504"/>
      <c r="AC89" s="504"/>
      <c r="AD89" s="504"/>
      <c r="AE89" s="508"/>
      <c r="AF89" s="504"/>
      <c r="AG89" s="504"/>
      <c r="AH89" s="504"/>
      <c r="AI89" s="504"/>
      <c r="AJ89" s="504"/>
      <c r="AK89" s="504"/>
      <c r="AL89" s="504"/>
      <c r="AM89" s="504"/>
      <c r="AN89" s="504"/>
      <c r="AO89" s="504"/>
      <c r="AP89" s="504"/>
      <c r="AQ89" s="504"/>
      <c r="AR89" s="505"/>
      <c r="AS89" s="505"/>
      <c r="AT89" s="507"/>
      <c r="AU89" s="693">
        <f>'[2]3rd Trimester Progress(Pradesh '!AB89</f>
        <v>0</v>
      </c>
      <c r="AV89" s="693">
        <f t="shared" si="36"/>
        <v>0</v>
      </c>
      <c r="AW89" s="305"/>
      <c r="AX89" s="305"/>
      <c r="AY89" s="305"/>
      <c r="AZ89" s="305"/>
      <c r="BA89" s="305"/>
      <c r="BB89" s="305"/>
      <c r="BC89" s="305"/>
      <c r="BD89" s="305"/>
    </row>
    <row r="90" spans="1:56" s="306" customFormat="1" ht="24">
      <c r="A90" s="433" t="s">
        <v>1065</v>
      </c>
      <c r="B90" s="490" t="s">
        <v>930</v>
      </c>
      <c r="C90" s="534" t="s">
        <v>1174</v>
      </c>
      <c r="D90" s="532"/>
      <c r="E90" s="284"/>
      <c r="F90" s="284"/>
      <c r="G90" s="284"/>
      <c r="H90" s="284"/>
      <c r="I90" s="284"/>
      <c r="J90" s="504">
        <v>1</v>
      </c>
      <c r="K90" s="504">
        <f t="shared" ref="K90:K133" si="37">(L90/$L$198)*100</f>
        <v>0.39359038065109686</v>
      </c>
      <c r="L90" s="506">
        <v>8</v>
      </c>
      <c r="M90" s="504">
        <f>L90</f>
        <v>8</v>
      </c>
      <c r="N90" s="504">
        <v>1</v>
      </c>
      <c r="O90" s="504">
        <f t="shared" ref="O90:O133" si="38">P90/$L$198*100</f>
        <v>9.8397595162774215E-2</v>
      </c>
      <c r="P90" s="504">
        <v>2</v>
      </c>
      <c r="Q90" s="504">
        <v>0.1</v>
      </c>
      <c r="R90" s="504">
        <f t="shared" si="30"/>
        <v>9.8397595162774219E-3</v>
      </c>
      <c r="S90" s="504">
        <f t="shared" si="31"/>
        <v>10</v>
      </c>
      <c r="T90" s="504">
        <v>7.6841600000000003</v>
      </c>
      <c r="U90" s="504">
        <f t="shared" ref="U90:U133" si="39">IFERROR(T90/P90*100,0)</f>
        <v>384.20800000000003</v>
      </c>
      <c r="V90" s="504">
        <f t="shared" ref="V88:V151" si="40">J90</f>
        <v>1</v>
      </c>
      <c r="W90" s="504">
        <f t="shared" si="27"/>
        <v>0.39359038065109686</v>
      </c>
      <c r="X90" s="504">
        <f t="shared" si="34"/>
        <v>8</v>
      </c>
      <c r="Y90" s="504">
        <v>1</v>
      </c>
      <c r="Z90" s="504">
        <f t="shared" si="28"/>
        <v>0.39359038065109686</v>
      </c>
      <c r="AA90" s="504">
        <f t="shared" si="24"/>
        <v>100</v>
      </c>
      <c r="AB90" s="504">
        <v>7.6841600000000003</v>
      </c>
      <c r="AC90" s="504">
        <f t="shared" ref="AC90:AC92" si="41">IFERROR(AB90/X90*100,0)</f>
        <v>96.052000000000007</v>
      </c>
      <c r="AD90" s="504"/>
      <c r="AE90" s="508"/>
      <c r="AF90" s="504"/>
      <c r="AG90" s="504"/>
      <c r="AH90" s="504"/>
      <c r="AI90" s="504"/>
      <c r="AJ90" s="504"/>
      <c r="AK90" s="504"/>
      <c r="AL90" s="504"/>
      <c r="AM90" s="504"/>
      <c r="AN90" s="504"/>
      <c r="AO90" s="504"/>
      <c r="AP90" s="504"/>
      <c r="AQ90" s="504"/>
      <c r="AR90" s="505"/>
      <c r="AS90" s="505"/>
      <c r="AT90" s="507"/>
      <c r="AU90" s="693">
        <f>'[2]3rd Trimester Progress(Pradesh '!AB90</f>
        <v>0</v>
      </c>
      <c r="AV90" s="693">
        <f t="shared" si="36"/>
        <v>7.6841600000000003</v>
      </c>
      <c r="AW90" s="305"/>
      <c r="AX90" s="305"/>
      <c r="AY90" s="305"/>
      <c r="AZ90" s="305"/>
      <c r="BA90" s="305"/>
      <c r="BB90" s="305"/>
      <c r="BC90" s="305"/>
      <c r="BD90" s="305"/>
    </row>
    <row r="91" spans="1:56" s="306" customFormat="1" ht="48">
      <c r="A91" s="433" t="s">
        <v>1066</v>
      </c>
      <c r="B91" s="490" t="s">
        <v>931</v>
      </c>
      <c r="C91" s="534" t="s">
        <v>1174</v>
      </c>
      <c r="D91" s="532"/>
      <c r="E91" s="284"/>
      <c r="F91" s="284"/>
      <c r="G91" s="284"/>
      <c r="H91" s="284"/>
      <c r="I91" s="284"/>
      <c r="J91" s="504">
        <v>1</v>
      </c>
      <c r="K91" s="504">
        <f t="shared" si="37"/>
        <v>0.39359038065109686</v>
      </c>
      <c r="L91" s="506">
        <v>8</v>
      </c>
      <c r="M91" s="504">
        <f t="shared" ref="M91:M133" si="42">L91</f>
        <v>8</v>
      </c>
      <c r="N91" s="504">
        <v>1</v>
      </c>
      <c r="O91" s="504">
        <f t="shared" si="38"/>
        <v>9.8397595162774215E-2</v>
      </c>
      <c r="P91" s="504">
        <v>2</v>
      </c>
      <c r="Q91" s="504">
        <v>0</v>
      </c>
      <c r="R91" s="504">
        <f t="shared" si="30"/>
        <v>0</v>
      </c>
      <c r="S91" s="504">
        <f t="shared" si="31"/>
        <v>0</v>
      </c>
      <c r="T91" s="504">
        <v>0</v>
      </c>
      <c r="U91" s="504">
        <f t="shared" si="39"/>
        <v>0</v>
      </c>
      <c r="V91" s="504">
        <f t="shared" si="40"/>
        <v>1</v>
      </c>
      <c r="W91" s="504">
        <f t="shared" si="27"/>
        <v>0.39359038065109686</v>
      </c>
      <c r="X91" s="504">
        <f t="shared" si="34"/>
        <v>8</v>
      </c>
      <c r="Y91" s="504">
        <v>1</v>
      </c>
      <c r="Z91" s="504">
        <f t="shared" si="28"/>
        <v>0.39359038065109686</v>
      </c>
      <c r="AA91" s="504">
        <f t="shared" si="24"/>
        <v>100</v>
      </c>
      <c r="AB91" s="504">
        <v>7.71</v>
      </c>
      <c r="AC91" s="504">
        <f t="shared" si="41"/>
        <v>96.375</v>
      </c>
      <c r="AD91" s="504"/>
      <c r="AE91" s="508"/>
      <c r="AF91" s="504"/>
      <c r="AG91" s="504"/>
      <c r="AH91" s="504"/>
      <c r="AI91" s="504"/>
      <c r="AJ91" s="504"/>
      <c r="AK91" s="504"/>
      <c r="AL91" s="504"/>
      <c r="AM91" s="504"/>
      <c r="AN91" s="504"/>
      <c r="AO91" s="504"/>
      <c r="AP91" s="504"/>
      <c r="AQ91" s="504"/>
      <c r="AR91" s="505"/>
      <c r="AS91" s="505"/>
      <c r="AT91" s="507"/>
      <c r="AU91" s="693">
        <f>'[2]3rd Trimester Progress(Pradesh '!AB91</f>
        <v>7.71</v>
      </c>
      <c r="AV91" s="693">
        <f t="shared" si="36"/>
        <v>0</v>
      </c>
      <c r="AW91" s="305"/>
      <c r="AX91" s="305"/>
      <c r="AY91" s="305"/>
      <c r="AZ91" s="305"/>
      <c r="BA91" s="305"/>
      <c r="BB91" s="305"/>
      <c r="BC91" s="305"/>
      <c r="BD91" s="305"/>
    </row>
    <row r="92" spans="1:56" s="306" customFormat="1" ht="24">
      <c r="A92" s="433" t="s">
        <v>1006</v>
      </c>
      <c r="B92" s="490" t="s">
        <v>932</v>
      </c>
      <c r="C92" s="534" t="s">
        <v>1174</v>
      </c>
      <c r="D92" s="532"/>
      <c r="E92" s="284"/>
      <c r="F92" s="284"/>
      <c r="G92" s="284"/>
      <c r="H92" s="284"/>
      <c r="I92" s="284"/>
      <c r="J92" s="504">
        <v>1</v>
      </c>
      <c r="K92" s="504">
        <f t="shared" si="37"/>
        <v>0.39359038065109686</v>
      </c>
      <c r="L92" s="506">
        <v>8</v>
      </c>
      <c r="M92" s="504">
        <f t="shared" si="42"/>
        <v>8</v>
      </c>
      <c r="N92" s="504">
        <v>1</v>
      </c>
      <c r="O92" s="504">
        <f t="shared" si="38"/>
        <v>9.8397595162774215E-2</v>
      </c>
      <c r="P92" s="504">
        <v>2</v>
      </c>
      <c r="Q92" s="504">
        <v>0</v>
      </c>
      <c r="R92" s="504">
        <f t="shared" si="30"/>
        <v>0</v>
      </c>
      <c r="S92" s="504">
        <f t="shared" si="31"/>
        <v>0</v>
      </c>
      <c r="T92" s="504">
        <v>0</v>
      </c>
      <c r="U92" s="504">
        <f t="shared" si="39"/>
        <v>0</v>
      </c>
      <c r="V92" s="504">
        <f t="shared" si="40"/>
        <v>1</v>
      </c>
      <c r="W92" s="504">
        <f t="shared" si="27"/>
        <v>0.39359038065109686</v>
      </c>
      <c r="X92" s="504">
        <f t="shared" si="34"/>
        <v>8</v>
      </c>
      <c r="Y92" s="504">
        <v>1</v>
      </c>
      <c r="Z92" s="504">
        <f t="shared" si="28"/>
        <v>0.39359038065109686</v>
      </c>
      <c r="AA92" s="504">
        <f t="shared" si="24"/>
        <v>100</v>
      </c>
      <c r="AB92" s="504">
        <v>7.99</v>
      </c>
      <c r="AC92" s="504">
        <f t="shared" si="41"/>
        <v>99.875</v>
      </c>
      <c r="AD92" s="504"/>
      <c r="AE92" s="508"/>
      <c r="AF92" s="504"/>
      <c r="AG92" s="504"/>
      <c r="AH92" s="504"/>
      <c r="AI92" s="504"/>
      <c r="AJ92" s="504"/>
      <c r="AK92" s="504"/>
      <c r="AL92" s="504"/>
      <c r="AM92" s="504"/>
      <c r="AN92" s="504"/>
      <c r="AO92" s="504"/>
      <c r="AP92" s="504"/>
      <c r="AQ92" s="504"/>
      <c r="AR92" s="505"/>
      <c r="AS92" s="505"/>
      <c r="AT92" s="507"/>
      <c r="AU92" s="693">
        <f>'[2]3rd Trimester Progress(Pradesh '!AB92</f>
        <v>7.99</v>
      </c>
      <c r="AV92" s="693">
        <f t="shared" si="36"/>
        <v>0</v>
      </c>
      <c r="AW92" s="305"/>
      <c r="AX92" s="305"/>
      <c r="AY92" s="305"/>
      <c r="AZ92" s="305"/>
      <c r="BA92" s="305"/>
      <c r="BB92" s="305"/>
      <c r="BC92" s="305"/>
      <c r="BD92" s="305"/>
    </row>
    <row r="93" spans="1:56" s="306" customFormat="1" ht="48">
      <c r="A93" s="433" t="s">
        <v>1007</v>
      </c>
      <c r="B93" s="490" t="s">
        <v>933</v>
      </c>
      <c r="C93" s="534" t="s">
        <v>1174</v>
      </c>
      <c r="D93" s="532"/>
      <c r="E93" s="284"/>
      <c r="F93" s="284"/>
      <c r="G93" s="284"/>
      <c r="H93" s="284"/>
      <c r="I93" s="284"/>
      <c r="J93" s="504">
        <v>1</v>
      </c>
      <c r="K93" s="504">
        <f t="shared" si="37"/>
        <v>1.2299699395346777</v>
      </c>
      <c r="L93" s="506">
        <v>25</v>
      </c>
      <c r="M93" s="504">
        <f t="shared" si="42"/>
        <v>25</v>
      </c>
      <c r="N93" s="504">
        <v>1</v>
      </c>
      <c r="O93" s="504">
        <f t="shared" si="38"/>
        <v>0.30749248488366943</v>
      </c>
      <c r="P93" s="504">
        <v>6.25</v>
      </c>
      <c r="Q93" s="504">
        <v>0.1</v>
      </c>
      <c r="R93" s="504">
        <f t="shared" si="30"/>
        <v>3.0749248488366944E-2</v>
      </c>
      <c r="S93" s="504">
        <f t="shared" si="31"/>
        <v>10</v>
      </c>
      <c r="T93" s="504">
        <v>5.0080600000000004</v>
      </c>
      <c r="U93" s="504">
        <f t="shared" si="39"/>
        <v>80.128960000000006</v>
      </c>
      <c r="V93" s="504">
        <f t="shared" si="40"/>
        <v>1</v>
      </c>
      <c r="W93" s="504">
        <f t="shared" si="27"/>
        <v>1.2299699395346777</v>
      </c>
      <c r="X93" s="504">
        <f t="shared" si="34"/>
        <v>25</v>
      </c>
      <c r="Y93" s="504">
        <v>1</v>
      </c>
      <c r="Z93" s="504">
        <f t="shared" si="28"/>
        <v>1.2299699395346777</v>
      </c>
      <c r="AA93" s="504">
        <f t="shared" si="24"/>
        <v>100</v>
      </c>
      <c r="AB93" s="504">
        <v>24.988060000000001</v>
      </c>
      <c r="AC93" s="504">
        <f t="shared" ref="AC93:AC133" si="43">IFERROR(AB93/X93*100,0)</f>
        <v>99.952240000000003</v>
      </c>
      <c r="AD93" s="504"/>
      <c r="AE93" s="508"/>
      <c r="AF93" s="504"/>
      <c r="AG93" s="504"/>
      <c r="AH93" s="504"/>
      <c r="AI93" s="504"/>
      <c r="AJ93" s="504"/>
      <c r="AK93" s="504"/>
      <c r="AL93" s="504"/>
      <c r="AM93" s="504"/>
      <c r="AN93" s="504"/>
      <c r="AO93" s="504"/>
      <c r="AP93" s="504"/>
      <c r="AQ93" s="504"/>
      <c r="AR93" s="505"/>
      <c r="AS93" s="505"/>
      <c r="AT93" s="507"/>
      <c r="AU93" s="693">
        <f>'[2]3rd Trimester Progress(Pradesh '!AB93</f>
        <v>19.98</v>
      </c>
      <c r="AV93" s="693">
        <f t="shared" si="36"/>
        <v>5.0080600000000004</v>
      </c>
      <c r="AW93" s="305"/>
      <c r="AX93" s="305"/>
      <c r="AY93" s="305"/>
      <c r="AZ93" s="305"/>
      <c r="BA93" s="305"/>
      <c r="BB93" s="305"/>
      <c r="BC93" s="305"/>
      <c r="BD93" s="305"/>
    </row>
    <row r="94" spans="1:56" s="306" customFormat="1" ht="24">
      <c r="A94" s="433" t="s">
        <v>1067</v>
      </c>
      <c r="B94" s="490" t="s">
        <v>934</v>
      </c>
      <c r="C94" s="534" t="s">
        <v>1174</v>
      </c>
      <c r="D94" s="532"/>
      <c r="E94" s="284"/>
      <c r="F94" s="284"/>
      <c r="G94" s="284"/>
      <c r="H94" s="284"/>
      <c r="I94" s="284"/>
      <c r="J94" s="504">
        <v>1</v>
      </c>
      <c r="K94" s="504">
        <f t="shared" si="37"/>
        <v>0.39359038065109686</v>
      </c>
      <c r="L94" s="506">
        <v>8</v>
      </c>
      <c r="M94" s="504">
        <f t="shared" si="42"/>
        <v>8</v>
      </c>
      <c r="N94" s="504">
        <v>1</v>
      </c>
      <c r="O94" s="504">
        <f t="shared" si="38"/>
        <v>9.8397595162774215E-2</v>
      </c>
      <c r="P94" s="504">
        <v>2</v>
      </c>
      <c r="Q94" s="504">
        <v>0</v>
      </c>
      <c r="R94" s="504">
        <f t="shared" si="30"/>
        <v>0</v>
      </c>
      <c r="S94" s="504">
        <f t="shared" si="31"/>
        <v>0</v>
      </c>
      <c r="T94" s="504">
        <v>0</v>
      </c>
      <c r="U94" s="504">
        <f t="shared" si="39"/>
        <v>0</v>
      </c>
      <c r="V94" s="504">
        <f t="shared" si="40"/>
        <v>1</v>
      </c>
      <c r="W94" s="504">
        <f t="shared" si="27"/>
        <v>0.39359038065109686</v>
      </c>
      <c r="X94" s="504">
        <f t="shared" si="34"/>
        <v>8</v>
      </c>
      <c r="Y94" s="504">
        <v>1</v>
      </c>
      <c r="Z94" s="504">
        <f t="shared" si="28"/>
        <v>0.39359038065109686</v>
      </c>
      <c r="AA94" s="504">
        <f t="shared" si="24"/>
        <v>100</v>
      </c>
      <c r="AB94" s="504">
        <v>7.99</v>
      </c>
      <c r="AC94" s="504">
        <f t="shared" si="43"/>
        <v>99.875</v>
      </c>
      <c r="AD94" s="504"/>
      <c r="AE94" s="508"/>
      <c r="AF94" s="504"/>
      <c r="AG94" s="504"/>
      <c r="AH94" s="504"/>
      <c r="AI94" s="504"/>
      <c r="AJ94" s="504"/>
      <c r="AK94" s="504"/>
      <c r="AL94" s="504"/>
      <c r="AM94" s="504"/>
      <c r="AN94" s="504"/>
      <c r="AO94" s="504"/>
      <c r="AP94" s="504"/>
      <c r="AQ94" s="504"/>
      <c r="AR94" s="505"/>
      <c r="AS94" s="505"/>
      <c r="AT94" s="507"/>
      <c r="AU94" s="693">
        <f>'[2]3rd Trimester Progress(Pradesh '!AB94</f>
        <v>7.99</v>
      </c>
      <c r="AV94" s="693">
        <f t="shared" si="36"/>
        <v>0</v>
      </c>
      <c r="AW94" s="305"/>
      <c r="AX94" s="305"/>
      <c r="AY94" s="305"/>
      <c r="AZ94" s="305"/>
      <c r="BA94" s="305"/>
      <c r="BB94" s="305"/>
      <c r="BC94" s="305"/>
      <c r="BD94" s="305"/>
    </row>
    <row r="95" spans="1:56" s="306" customFormat="1" ht="24">
      <c r="A95" s="433" t="s">
        <v>1068</v>
      </c>
      <c r="B95" s="490" t="s">
        <v>935</v>
      </c>
      <c r="C95" s="534" t="s">
        <v>1174</v>
      </c>
      <c r="D95" s="532"/>
      <c r="E95" s="284"/>
      <c r="F95" s="284"/>
      <c r="G95" s="284"/>
      <c r="H95" s="284"/>
      <c r="I95" s="284"/>
      <c r="J95" s="504">
        <v>1</v>
      </c>
      <c r="K95" s="504">
        <f t="shared" si="37"/>
        <v>0.39359038065109686</v>
      </c>
      <c r="L95" s="506">
        <v>8</v>
      </c>
      <c r="M95" s="504">
        <f t="shared" si="42"/>
        <v>8</v>
      </c>
      <c r="N95" s="504">
        <v>1</v>
      </c>
      <c r="O95" s="504">
        <f t="shared" si="38"/>
        <v>9.8397595162774215E-2</v>
      </c>
      <c r="P95" s="504">
        <v>2</v>
      </c>
      <c r="Q95" s="504">
        <v>0</v>
      </c>
      <c r="R95" s="504">
        <f t="shared" si="30"/>
        <v>0</v>
      </c>
      <c r="S95" s="504">
        <f t="shared" si="31"/>
        <v>0</v>
      </c>
      <c r="T95" s="504">
        <v>0</v>
      </c>
      <c r="U95" s="504">
        <f t="shared" si="39"/>
        <v>0</v>
      </c>
      <c r="V95" s="504">
        <f t="shared" si="40"/>
        <v>1</v>
      </c>
      <c r="W95" s="504">
        <f t="shared" si="27"/>
        <v>0.39359038065109686</v>
      </c>
      <c r="X95" s="504">
        <f t="shared" si="34"/>
        <v>8</v>
      </c>
      <c r="Y95" s="504">
        <v>1</v>
      </c>
      <c r="Z95" s="504">
        <f t="shared" si="28"/>
        <v>0.39359038065109686</v>
      </c>
      <c r="AA95" s="504">
        <f t="shared" si="24"/>
        <v>100</v>
      </c>
      <c r="AB95" s="504">
        <v>7.98</v>
      </c>
      <c r="AC95" s="504">
        <f t="shared" si="43"/>
        <v>99.75</v>
      </c>
      <c r="AD95" s="504"/>
      <c r="AE95" s="508"/>
      <c r="AF95" s="504"/>
      <c r="AG95" s="504"/>
      <c r="AH95" s="504"/>
      <c r="AI95" s="504"/>
      <c r="AJ95" s="504"/>
      <c r="AK95" s="504"/>
      <c r="AL95" s="504"/>
      <c r="AM95" s="504"/>
      <c r="AN95" s="504"/>
      <c r="AO95" s="504"/>
      <c r="AP95" s="504"/>
      <c r="AQ95" s="504"/>
      <c r="AR95" s="505"/>
      <c r="AS95" s="505"/>
      <c r="AT95" s="507"/>
      <c r="AU95" s="693">
        <f>'[2]3rd Trimester Progress(Pradesh '!AB95</f>
        <v>7.98</v>
      </c>
      <c r="AV95" s="693">
        <f t="shared" si="36"/>
        <v>0</v>
      </c>
      <c r="AW95" s="305"/>
      <c r="AX95" s="305"/>
      <c r="AY95" s="305"/>
      <c r="AZ95" s="305"/>
      <c r="BA95" s="305"/>
      <c r="BB95" s="305"/>
      <c r="BC95" s="305"/>
      <c r="BD95" s="305"/>
    </row>
    <row r="96" spans="1:56" s="306" customFormat="1" ht="24">
      <c r="A96" s="433" t="s">
        <v>1069</v>
      </c>
      <c r="B96" s="490" t="s">
        <v>936</v>
      </c>
      <c r="C96" s="534" t="s">
        <v>1174</v>
      </c>
      <c r="D96" s="532"/>
      <c r="E96" s="284"/>
      <c r="F96" s="284"/>
      <c r="G96" s="284"/>
      <c r="H96" s="284"/>
      <c r="I96" s="284"/>
      <c r="J96" s="504">
        <v>1</v>
      </c>
      <c r="K96" s="504">
        <f t="shared" si="37"/>
        <v>0.88557835646496785</v>
      </c>
      <c r="L96" s="506">
        <v>18</v>
      </c>
      <c r="M96" s="504">
        <f t="shared" si="42"/>
        <v>18</v>
      </c>
      <c r="N96" s="504">
        <v>1</v>
      </c>
      <c r="O96" s="504">
        <f t="shared" si="38"/>
        <v>0.22139458911624196</v>
      </c>
      <c r="P96" s="504">
        <v>4.5</v>
      </c>
      <c r="Q96" s="504">
        <v>0.05</v>
      </c>
      <c r="R96" s="504">
        <f t="shared" si="30"/>
        <v>1.1069729455812099E-2</v>
      </c>
      <c r="S96" s="504">
        <f t="shared" si="31"/>
        <v>5</v>
      </c>
      <c r="T96" s="504">
        <v>0.60119999999999862</v>
      </c>
      <c r="U96" s="504">
        <f t="shared" si="39"/>
        <v>13.359999999999969</v>
      </c>
      <c r="V96" s="504">
        <f t="shared" si="40"/>
        <v>1</v>
      </c>
      <c r="W96" s="504">
        <f t="shared" si="27"/>
        <v>0.88557835646496785</v>
      </c>
      <c r="X96" s="504">
        <f t="shared" si="34"/>
        <v>18</v>
      </c>
      <c r="Y96" s="504">
        <v>1</v>
      </c>
      <c r="Z96" s="504">
        <f t="shared" si="28"/>
        <v>0.88557835646496785</v>
      </c>
      <c r="AA96" s="504">
        <f t="shared" si="24"/>
        <v>100</v>
      </c>
      <c r="AB96" s="504">
        <v>15.661199999999999</v>
      </c>
      <c r="AC96" s="504">
        <f t="shared" si="43"/>
        <v>87.006666666666661</v>
      </c>
      <c r="AD96" s="504"/>
      <c r="AE96" s="508"/>
      <c r="AF96" s="504"/>
      <c r="AG96" s="504"/>
      <c r="AH96" s="504"/>
      <c r="AI96" s="504"/>
      <c r="AJ96" s="504"/>
      <c r="AK96" s="504"/>
      <c r="AL96" s="504"/>
      <c r="AM96" s="504"/>
      <c r="AN96" s="504"/>
      <c r="AO96" s="504"/>
      <c r="AP96" s="504"/>
      <c r="AQ96" s="504"/>
      <c r="AR96" s="505"/>
      <c r="AS96" s="505"/>
      <c r="AT96" s="507"/>
      <c r="AU96" s="693">
        <f>'[2]3rd Trimester Progress(Pradesh '!AB96</f>
        <v>15.06</v>
      </c>
      <c r="AV96" s="693">
        <f t="shared" si="36"/>
        <v>0.60119999999999862</v>
      </c>
      <c r="AW96" s="305"/>
      <c r="AX96" s="305"/>
      <c r="AY96" s="305"/>
      <c r="AZ96" s="305"/>
      <c r="BA96" s="305"/>
      <c r="BB96" s="305"/>
      <c r="BC96" s="305"/>
      <c r="BD96" s="305"/>
    </row>
    <row r="97" spans="1:56" s="306" customFormat="1" ht="24">
      <c r="A97" s="433" t="s">
        <v>1070</v>
      </c>
      <c r="B97" s="490" t="s">
        <v>937</v>
      </c>
      <c r="C97" s="534" t="s">
        <v>1174</v>
      </c>
      <c r="D97" s="532"/>
      <c r="E97" s="284"/>
      <c r="F97" s="284"/>
      <c r="G97" s="284"/>
      <c r="H97" s="284"/>
      <c r="I97" s="284"/>
      <c r="J97" s="504">
        <v>1</v>
      </c>
      <c r="K97" s="504">
        <f t="shared" si="37"/>
        <v>0.4919879758138711</v>
      </c>
      <c r="L97" s="506">
        <v>10</v>
      </c>
      <c r="M97" s="504">
        <f t="shared" si="42"/>
        <v>10</v>
      </c>
      <c r="N97" s="504">
        <v>1</v>
      </c>
      <c r="O97" s="504">
        <f t="shared" si="38"/>
        <v>0.12299699395346778</v>
      </c>
      <c r="P97" s="504">
        <v>2.5</v>
      </c>
      <c r="Q97" s="504">
        <v>0.9</v>
      </c>
      <c r="R97" s="504">
        <f t="shared" si="30"/>
        <v>0.110697294558121</v>
      </c>
      <c r="S97" s="504">
        <f t="shared" si="31"/>
        <v>90</v>
      </c>
      <c r="T97" s="504">
        <v>9.5810700000000004</v>
      </c>
      <c r="U97" s="504">
        <f t="shared" si="39"/>
        <v>383.24279999999999</v>
      </c>
      <c r="V97" s="504">
        <f t="shared" si="40"/>
        <v>1</v>
      </c>
      <c r="W97" s="504">
        <f t="shared" si="27"/>
        <v>0.4919879758138711</v>
      </c>
      <c r="X97" s="504">
        <f t="shared" si="34"/>
        <v>10</v>
      </c>
      <c r="Y97" s="504">
        <v>1</v>
      </c>
      <c r="Z97" s="504">
        <f t="shared" si="28"/>
        <v>0.4919879758138711</v>
      </c>
      <c r="AA97" s="504">
        <f t="shared" si="24"/>
        <v>100</v>
      </c>
      <c r="AB97" s="504">
        <v>9.5810700000000004</v>
      </c>
      <c r="AC97" s="504">
        <f t="shared" si="43"/>
        <v>95.810699999999997</v>
      </c>
      <c r="AD97" s="504"/>
      <c r="AE97" s="508"/>
      <c r="AF97" s="504"/>
      <c r="AG97" s="504"/>
      <c r="AH97" s="504"/>
      <c r="AI97" s="504"/>
      <c r="AJ97" s="504"/>
      <c r="AK97" s="504"/>
      <c r="AL97" s="504"/>
      <c r="AM97" s="504"/>
      <c r="AN97" s="504"/>
      <c r="AO97" s="504"/>
      <c r="AP97" s="504"/>
      <c r="AQ97" s="504"/>
      <c r="AR97" s="505"/>
      <c r="AS97" s="505"/>
      <c r="AT97" s="507"/>
      <c r="AU97" s="693">
        <f>'[2]3rd Trimester Progress(Pradesh '!AB97</f>
        <v>0</v>
      </c>
      <c r="AV97" s="693">
        <f t="shared" si="36"/>
        <v>9.5810700000000004</v>
      </c>
      <c r="AW97" s="305"/>
      <c r="AX97" s="305"/>
      <c r="AY97" s="305"/>
      <c r="AZ97" s="305"/>
      <c r="BA97" s="305"/>
      <c r="BB97" s="305"/>
      <c r="BC97" s="305"/>
      <c r="BD97" s="305"/>
    </row>
    <row r="98" spans="1:56" s="306" customFormat="1" ht="24">
      <c r="A98" s="433" t="s">
        <v>1071</v>
      </c>
      <c r="B98" s="490" t="s">
        <v>938</v>
      </c>
      <c r="C98" s="534" t="s">
        <v>1174</v>
      </c>
      <c r="D98" s="532"/>
      <c r="E98" s="284"/>
      <c r="F98" s="284"/>
      <c r="G98" s="284"/>
      <c r="H98" s="284"/>
      <c r="I98" s="284"/>
      <c r="J98" s="504">
        <v>1</v>
      </c>
      <c r="K98" s="504">
        <f t="shared" si="37"/>
        <v>0.39359038065109686</v>
      </c>
      <c r="L98" s="506">
        <v>8</v>
      </c>
      <c r="M98" s="504">
        <f t="shared" si="42"/>
        <v>8</v>
      </c>
      <c r="N98" s="504">
        <v>1</v>
      </c>
      <c r="O98" s="504">
        <f t="shared" si="38"/>
        <v>9.8397595162774215E-2</v>
      </c>
      <c r="P98" s="504">
        <v>2</v>
      </c>
      <c r="Q98" s="504">
        <v>0.5</v>
      </c>
      <c r="R98" s="504">
        <f t="shared" si="30"/>
        <v>4.9198797581387108E-2</v>
      </c>
      <c r="S98" s="504">
        <f t="shared" si="31"/>
        <v>50</v>
      </c>
      <c r="T98" s="504">
        <v>7.6799499999999998</v>
      </c>
      <c r="U98" s="504">
        <f t="shared" si="39"/>
        <v>383.9975</v>
      </c>
      <c r="V98" s="504">
        <f t="shared" si="40"/>
        <v>1</v>
      </c>
      <c r="W98" s="504">
        <f t="shared" si="27"/>
        <v>0.39359038065109686</v>
      </c>
      <c r="X98" s="504">
        <f t="shared" si="34"/>
        <v>8</v>
      </c>
      <c r="Y98" s="504">
        <v>1</v>
      </c>
      <c r="Z98" s="504">
        <f t="shared" si="28"/>
        <v>0.39359038065109686</v>
      </c>
      <c r="AA98" s="504">
        <f t="shared" si="24"/>
        <v>100</v>
      </c>
      <c r="AB98" s="504">
        <v>7.6799499999999998</v>
      </c>
      <c r="AC98" s="504">
        <f t="shared" si="43"/>
        <v>95.999375000000001</v>
      </c>
      <c r="AD98" s="504"/>
      <c r="AE98" s="508"/>
      <c r="AF98" s="504"/>
      <c r="AG98" s="504"/>
      <c r="AH98" s="504"/>
      <c r="AI98" s="504"/>
      <c r="AJ98" s="504"/>
      <c r="AK98" s="504"/>
      <c r="AL98" s="504"/>
      <c r="AM98" s="504"/>
      <c r="AN98" s="504"/>
      <c r="AO98" s="504"/>
      <c r="AP98" s="504"/>
      <c r="AQ98" s="504"/>
      <c r="AR98" s="505"/>
      <c r="AS98" s="505"/>
      <c r="AT98" s="507"/>
      <c r="AU98" s="693">
        <f>'[2]3rd Trimester Progress(Pradesh '!AB98</f>
        <v>0</v>
      </c>
      <c r="AV98" s="693">
        <f t="shared" si="36"/>
        <v>7.6799499999999998</v>
      </c>
      <c r="AW98" s="305"/>
      <c r="AX98" s="305"/>
      <c r="AY98" s="305"/>
      <c r="AZ98" s="305"/>
      <c r="BA98" s="305"/>
      <c r="BB98" s="305"/>
      <c r="BC98" s="305"/>
      <c r="BD98" s="305"/>
    </row>
    <row r="99" spans="1:56" s="306" customFormat="1" ht="24">
      <c r="A99" s="433" t="s">
        <v>1072</v>
      </c>
      <c r="B99" s="490" t="s">
        <v>939</v>
      </c>
      <c r="C99" s="534" t="s">
        <v>1174</v>
      </c>
      <c r="D99" s="532"/>
      <c r="E99" s="284"/>
      <c r="F99" s="284"/>
      <c r="G99" s="284"/>
      <c r="H99" s="284"/>
      <c r="I99" s="284"/>
      <c r="J99" s="504">
        <v>1</v>
      </c>
      <c r="K99" s="504">
        <f t="shared" si="37"/>
        <v>0.7379819637208066</v>
      </c>
      <c r="L99" s="506">
        <v>15</v>
      </c>
      <c r="M99" s="504">
        <f t="shared" si="42"/>
        <v>15</v>
      </c>
      <c r="N99" s="504">
        <v>1</v>
      </c>
      <c r="O99" s="504">
        <f t="shared" si="38"/>
        <v>0.18449549093020165</v>
      </c>
      <c r="P99" s="504">
        <v>3.75</v>
      </c>
      <c r="Q99" s="504">
        <v>0</v>
      </c>
      <c r="R99" s="504">
        <f t="shared" si="30"/>
        <v>0</v>
      </c>
      <c r="S99" s="504">
        <f t="shared" si="31"/>
        <v>0</v>
      </c>
      <c r="T99" s="504">
        <v>0</v>
      </c>
      <c r="U99" s="504">
        <f t="shared" si="39"/>
        <v>0</v>
      </c>
      <c r="V99" s="504">
        <f t="shared" si="40"/>
        <v>1</v>
      </c>
      <c r="W99" s="504">
        <f t="shared" si="27"/>
        <v>0.7379819637208066</v>
      </c>
      <c r="X99" s="504">
        <f t="shared" si="34"/>
        <v>15</v>
      </c>
      <c r="Y99" s="504">
        <v>1</v>
      </c>
      <c r="Z99" s="504">
        <f t="shared" si="28"/>
        <v>0.7379819637208066</v>
      </c>
      <c r="AA99" s="504">
        <f t="shared" si="24"/>
        <v>100</v>
      </c>
      <c r="AB99" s="504">
        <v>14.85</v>
      </c>
      <c r="AC99" s="504">
        <f t="shared" si="43"/>
        <v>99</v>
      </c>
      <c r="AD99" s="504"/>
      <c r="AE99" s="508"/>
      <c r="AF99" s="504"/>
      <c r="AG99" s="504"/>
      <c r="AH99" s="504"/>
      <c r="AI99" s="504"/>
      <c r="AJ99" s="504"/>
      <c r="AK99" s="504"/>
      <c r="AL99" s="504"/>
      <c r="AM99" s="504"/>
      <c r="AN99" s="504"/>
      <c r="AO99" s="504"/>
      <c r="AP99" s="504"/>
      <c r="AQ99" s="504"/>
      <c r="AR99" s="505"/>
      <c r="AS99" s="505"/>
      <c r="AT99" s="507"/>
      <c r="AU99" s="693">
        <f>'[2]3rd Trimester Progress(Pradesh '!AB99</f>
        <v>14.85</v>
      </c>
      <c r="AV99" s="693">
        <f t="shared" si="36"/>
        <v>0</v>
      </c>
      <c r="AW99" s="305"/>
      <c r="AX99" s="305"/>
      <c r="AY99" s="305"/>
      <c r="AZ99" s="305"/>
      <c r="BA99" s="305"/>
      <c r="BB99" s="305"/>
      <c r="BC99" s="305"/>
      <c r="BD99" s="305"/>
    </row>
    <row r="100" spans="1:56" s="306" customFormat="1" ht="24">
      <c r="A100" s="433" t="s">
        <v>1073</v>
      </c>
      <c r="B100" s="490" t="s">
        <v>940</v>
      </c>
      <c r="C100" s="534" t="s">
        <v>1174</v>
      </c>
      <c r="D100" s="532"/>
      <c r="E100" s="284"/>
      <c r="F100" s="284"/>
      <c r="G100" s="284"/>
      <c r="H100" s="284"/>
      <c r="I100" s="284"/>
      <c r="J100" s="504">
        <v>1</v>
      </c>
      <c r="K100" s="504">
        <f t="shared" si="37"/>
        <v>0.4919879758138711</v>
      </c>
      <c r="L100" s="506">
        <v>10</v>
      </c>
      <c r="M100" s="504">
        <f t="shared" si="42"/>
        <v>10</v>
      </c>
      <c r="N100" s="504">
        <v>1</v>
      </c>
      <c r="O100" s="504">
        <f t="shared" si="38"/>
        <v>0.12299699395346778</v>
      </c>
      <c r="P100" s="504">
        <v>2.5</v>
      </c>
      <c r="Q100" s="504">
        <v>1</v>
      </c>
      <c r="R100" s="504">
        <f t="shared" si="30"/>
        <v>0.12299699395346778</v>
      </c>
      <c r="S100" s="504">
        <f t="shared" si="31"/>
        <v>100</v>
      </c>
      <c r="T100" s="504">
        <v>9.8065099999999994</v>
      </c>
      <c r="U100" s="504">
        <f t="shared" si="39"/>
        <v>392.2604</v>
      </c>
      <c r="V100" s="504">
        <f t="shared" si="40"/>
        <v>1</v>
      </c>
      <c r="W100" s="504">
        <f t="shared" si="27"/>
        <v>0.4919879758138711</v>
      </c>
      <c r="X100" s="504">
        <f t="shared" si="34"/>
        <v>10</v>
      </c>
      <c r="Y100" s="504">
        <v>1</v>
      </c>
      <c r="Z100" s="504">
        <f t="shared" si="28"/>
        <v>0.4919879758138711</v>
      </c>
      <c r="AA100" s="504">
        <f t="shared" si="24"/>
        <v>100</v>
      </c>
      <c r="AB100" s="504">
        <v>9.8065099999999994</v>
      </c>
      <c r="AC100" s="504">
        <f t="shared" si="43"/>
        <v>98.065100000000001</v>
      </c>
      <c r="AD100" s="504"/>
      <c r="AE100" s="508"/>
      <c r="AF100" s="504"/>
      <c r="AG100" s="504"/>
      <c r="AH100" s="504"/>
      <c r="AI100" s="504"/>
      <c r="AJ100" s="504"/>
      <c r="AK100" s="504"/>
      <c r="AL100" s="504"/>
      <c r="AM100" s="504"/>
      <c r="AN100" s="504"/>
      <c r="AO100" s="504"/>
      <c r="AP100" s="504"/>
      <c r="AQ100" s="504"/>
      <c r="AR100" s="505"/>
      <c r="AS100" s="505"/>
      <c r="AT100" s="507"/>
      <c r="AU100" s="693">
        <f>'[2]3rd Trimester Progress(Pradesh '!AB100</f>
        <v>0</v>
      </c>
      <c r="AV100" s="693">
        <f t="shared" si="36"/>
        <v>9.8065099999999994</v>
      </c>
      <c r="AW100" s="305"/>
      <c r="AX100" s="305"/>
      <c r="AY100" s="305"/>
      <c r="AZ100" s="305"/>
      <c r="BA100" s="305"/>
      <c r="BB100" s="305"/>
      <c r="BC100" s="305"/>
      <c r="BD100" s="305"/>
    </row>
    <row r="101" spans="1:56" s="306" customFormat="1" ht="24">
      <c r="A101" s="433" t="s">
        <v>1074</v>
      </c>
      <c r="B101" s="490" t="s">
        <v>941</v>
      </c>
      <c r="C101" s="534" t="s">
        <v>1174</v>
      </c>
      <c r="D101" s="532"/>
      <c r="E101" s="284"/>
      <c r="F101" s="284"/>
      <c r="G101" s="284"/>
      <c r="H101" s="284"/>
      <c r="I101" s="284"/>
      <c r="J101" s="504">
        <v>1</v>
      </c>
      <c r="K101" s="504">
        <f t="shared" si="37"/>
        <v>0.39359038065109686</v>
      </c>
      <c r="L101" s="506">
        <v>8</v>
      </c>
      <c r="M101" s="504">
        <f t="shared" si="42"/>
        <v>8</v>
      </c>
      <c r="N101" s="504">
        <v>1</v>
      </c>
      <c r="O101" s="504">
        <f t="shared" si="38"/>
        <v>9.8397595162774215E-2</v>
      </c>
      <c r="P101" s="504">
        <v>2</v>
      </c>
      <c r="Q101" s="504">
        <v>0</v>
      </c>
      <c r="R101" s="504">
        <f t="shared" si="30"/>
        <v>0</v>
      </c>
      <c r="S101" s="504">
        <f t="shared" si="31"/>
        <v>0</v>
      </c>
      <c r="T101" s="504">
        <v>0</v>
      </c>
      <c r="U101" s="504">
        <f t="shared" si="39"/>
        <v>0</v>
      </c>
      <c r="V101" s="504">
        <f t="shared" si="40"/>
        <v>1</v>
      </c>
      <c r="W101" s="504">
        <f t="shared" si="27"/>
        <v>0.39359038065109686</v>
      </c>
      <c r="X101" s="504">
        <f t="shared" si="34"/>
        <v>8</v>
      </c>
      <c r="Y101" s="504">
        <v>1</v>
      </c>
      <c r="Z101" s="504">
        <f t="shared" si="28"/>
        <v>0.39359038065109686</v>
      </c>
      <c r="AA101" s="504">
        <f t="shared" si="24"/>
        <v>100</v>
      </c>
      <c r="AB101" s="504">
        <v>7.98</v>
      </c>
      <c r="AC101" s="504">
        <f t="shared" si="43"/>
        <v>99.75</v>
      </c>
      <c r="AD101" s="504"/>
      <c r="AE101" s="508"/>
      <c r="AF101" s="504"/>
      <c r="AG101" s="504"/>
      <c r="AH101" s="504"/>
      <c r="AI101" s="504"/>
      <c r="AJ101" s="504"/>
      <c r="AK101" s="504"/>
      <c r="AL101" s="504"/>
      <c r="AM101" s="504"/>
      <c r="AN101" s="504"/>
      <c r="AO101" s="504"/>
      <c r="AP101" s="504"/>
      <c r="AQ101" s="504"/>
      <c r="AR101" s="505"/>
      <c r="AS101" s="505"/>
      <c r="AT101" s="507"/>
      <c r="AU101" s="693">
        <f>'[2]3rd Trimester Progress(Pradesh '!AB101</f>
        <v>7.98</v>
      </c>
      <c r="AV101" s="693">
        <f t="shared" si="36"/>
        <v>0</v>
      </c>
      <c r="AW101" s="305"/>
      <c r="AX101" s="305"/>
      <c r="AY101" s="305"/>
      <c r="AZ101" s="305"/>
      <c r="BA101" s="305"/>
      <c r="BB101" s="305"/>
      <c r="BC101" s="305"/>
      <c r="BD101" s="305"/>
    </row>
    <row r="102" spans="1:56" s="306" customFormat="1" ht="24.75" customHeight="1">
      <c r="A102" s="433" t="s">
        <v>1075</v>
      </c>
      <c r="B102" s="490" t="s">
        <v>942</v>
      </c>
      <c r="C102" s="534" t="s">
        <v>1174</v>
      </c>
      <c r="D102" s="532"/>
      <c r="E102" s="284"/>
      <c r="F102" s="284"/>
      <c r="G102" s="284"/>
      <c r="H102" s="284"/>
      <c r="I102" s="284"/>
      <c r="J102" s="504">
        <v>1</v>
      </c>
      <c r="K102" s="504">
        <f t="shared" si="37"/>
        <v>0.39359038065109686</v>
      </c>
      <c r="L102" s="506">
        <v>8</v>
      </c>
      <c r="M102" s="504">
        <f t="shared" si="42"/>
        <v>8</v>
      </c>
      <c r="N102" s="504">
        <v>1</v>
      </c>
      <c r="O102" s="504">
        <f t="shared" si="38"/>
        <v>9.8397595162774215E-2</v>
      </c>
      <c r="P102" s="504">
        <v>2</v>
      </c>
      <c r="Q102" s="504">
        <v>0.7</v>
      </c>
      <c r="R102" s="504">
        <f t="shared" si="30"/>
        <v>6.8878316613941948E-2</v>
      </c>
      <c r="S102" s="504">
        <f t="shared" si="31"/>
        <v>70</v>
      </c>
      <c r="T102" s="504">
        <v>7.6651699999999998</v>
      </c>
      <c r="U102" s="504">
        <f t="shared" si="39"/>
        <v>383.25849999999997</v>
      </c>
      <c r="V102" s="504">
        <f t="shared" si="40"/>
        <v>1</v>
      </c>
      <c r="W102" s="504">
        <f t="shared" si="27"/>
        <v>0.39359038065109686</v>
      </c>
      <c r="X102" s="504">
        <f t="shared" si="34"/>
        <v>8</v>
      </c>
      <c r="Y102" s="504">
        <v>1</v>
      </c>
      <c r="Z102" s="504">
        <f t="shared" si="28"/>
        <v>0.39359038065109686</v>
      </c>
      <c r="AA102" s="504">
        <f t="shared" si="24"/>
        <v>100</v>
      </c>
      <c r="AB102" s="504">
        <v>7.6651699999999998</v>
      </c>
      <c r="AC102" s="504">
        <f t="shared" si="43"/>
        <v>95.814624999999992</v>
      </c>
      <c r="AD102" s="504"/>
      <c r="AE102" s="508"/>
      <c r="AF102" s="504"/>
      <c r="AG102" s="504"/>
      <c r="AH102" s="504"/>
      <c r="AI102" s="504"/>
      <c r="AJ102" s="504"/>
      <c r="AK102" s="504"/>
      <c r="AL102" s="504"/>
      <c r="AM102" s="504"/>
      <c r="AN102" s="504"/>
      <c r="AO102" s="504"/>
      <c r="AP102" s="504"/>
      <c r="AQ102" s="504"/>
      <c r="AR102" s="505"/>
      <c r="AS102" s="505"/>
      <c r="AT102" s="507"/>
      <c r="AU102" s="693">
        <f>'[2]3rd Trimester Progress(Pradesh '!AB102</f>
        <v>0</v>
      </c>
      <c r="AV102" s="693">
        <f t="shared" si="36"/>
        <v>7.6651699999999998</v>
      </c>
      <c r="AW102" s="305"/>
      <c r="AX102" s="305"/>
      <c r="AY102" s="305"/>
      <c r="AZ102" s="305"/>
      <c r="BA102" s="305"/>
      <c r="BB102" s="305"/>
      <c r="BC102" s="305"/>
      <c r="BD102" s="305"/>
    </row>
    <row r="103" spans="1:56" s="306" customFormat="1" ht="48">
      <c r="A103" s="433" t="s">
        <v>1076</v>
      </c>
      <c r="B103" s="490" t="s">
        <v>943</v>
      </c>
      <c r="C103" s="534" t="s">
        <v>1174</v>
      </c>
      <c r="D103" s="532"/>
      <c r="E103" s="284"/>
      <c r="F103" s="284"/>
      <c r="G103" s="284"/>
      <c r="H103" s="284"/>
      <c r="I103" s="284"/>
      <c r="J103" s="504">
        <v>1</v>
      </c>
      <c r="K103" s="504">
        <f t="shared" si="37"/>
        <v>0.39359038065109686</v>
      </c>
      <c r="L103" s="506">
        <v>8</v>
      </c>
      <c r="M103" s="504">
        <f t="shared" si="42"/>
        <v>8</v>
      </c>
      <c r="N103" s="504">
        <v>1</v>
      </c>
      <c r="O103" s="504">
        <f t="shared" si="38"/>
        <v>9.8397595162774215E-2</v>
      </c>
      <c r="P103" s="504">
        <v>2</v>
      </c>
      <c r="Q103" s="504">
        <v>0</v>
      </c>
      <c r="R103" s="504">
        <f t="shared" si="30"/>
        <v>0</v>
      </c>
      <c r="S103" s="504">
        <f t="shared" si="31"/>
        <v>0</v>
      </c>
      <c r="T103" s="504">
        <v>0</v>
      </c>
      <c r="U103" s="504">
        <f t="shared" si="39"/>
        <v>0</v>
      </c>
      <c r="V103" s="504">
        <f t="shared" si="40"/>
        <v>1</v>
      </c>
      <c r="W103" s="504">
        <f t="shared" si="27"/>
        <v>0.39359038065109686</v>
      </c>
      <c r="X103" s="504">
        <f t="shared" si="34"/>
        <v>8</v>
      </c>
      <c r="Y103" s="504">
        <v>1</v>
      </c>
      <c r="Z103" s="504">
        <f t="shared" si="28"/>
        <v>0.39359038065109686</v>
      </c>
      <c r="AA103" s="504">
        <f t="shared" si="24"/>
        <v>100</v>
      </c>
      <c r="AB103" s="504">
        <v>7.87</v>
      </c>
      <c r="AC103" s="504">
        <f t="shared" si="43"/>
        <v>98.375</v>
      </c>
      <c r="AD103" s="504"/>
      <c r="AE103" s="508"/>
      <c r="AF103" s="504"/>
      <c r="AG103" s="504"/>
      <c r="AH103" s="504"/>
      <c r="AI103" s="504"/>
      <c r="AJ103" s="504"/>
      <c r="AK103" s="504"/>
      <c r="AL103" s="504"/>
      <c r="AM103" s="504"/>
      <c r="AN103" s="504"/>
      <c r="AO103" s="504"/>
      <c r="AP103" s="504"/>
      <c r="AQ103" s="504"/>
      <c r="AR103" s="505"/>
      <c r="AS103" s="505"/>
      <c r="AT103" s="507"/>
      <c r="AU103" s="693">
        <f>'[2]3rd Trimester Progress(Pradesh '!AB103</f>
        <v>7.87</v>
      </c>
      <c r="AV103" s="693">
        <f t="shared" si="36"/>
        <v>0</v>
      </c>
      <c r="AW103" s="305"/>
      <c r="AX103" s="305"/>
      <c r="AY103" s="305"/>
      <c r="AZ103" s="305"/>
      <c r="BA103" s="305"/>
      <c r="BB103" s="305"/>
      <c r="BC103" s="305"/>
      <c r="BD103" s="305"/>
    </row>
    <row r="104" spans="1:56" s="306" customFormat="1" ht="24">
      <c r="A104" s="433" t="s">
        <v>1077</v>
      </c>
      <c r="B104" s="490" t="s">
        <v>944</v>
      </c>
      <c r="C104" s="534" t="s">
        <v>1174</v>
      </c>
      <c r="D104" s="532"/>
      <c r="E104" s="284"/>
      <c r="F104" s="284"/>
      <c r="G104" s="284"/>
      <c r="H104" s="284"/>
      <c r="I104" s="284"/>
      <c r="J104" s="504">
        <v>1</v>
      </c>
      <c r="K104" s="504">
        <f t="shared" si="37"/>
        <v>0.39359038065109686</v>
      </c>
      <c r="L104" s="506">
        <v>8</v>
      </c>
      <c r="M104" s="504">
        <f t="shared" si="42"/>
        <v>8</v>
      </c>
      <c r="N104" s="504">
        <v>1</v>
      </c>
      <c r="O104" s="504">
        <f t="shared" si="38"/>
        <v>9.8397595162774215E-2</v>
      </c>
      <c r="P104" s="504">
        <v>2</v>
      </c>
      <c r="Q104" s="504">
        <v>0</v>
      </c>
      <c r="R104" s="504">
        <f t="shared" si="30"/>
        <v>0</v>
      </c>
      <c r="S104" s="504">
        <f t="shared" si="31"/>
        <v>0</v>
      </c>
      <c r="T104" s="504">
        <v>0</v>
      </c>
      <c r="U104" s="504">
        <f t="shared" si="39"/>
        <v>0</v>
      </c>
      <c r="V104" s="504">
        <f t="shared" si="40"/>
        <v>1</v>
      </c>
      <c r="W104" s="504">
        <f t="shared" si="27"/>
        <v>0.39359038065109686</v>
      </c>
      <c r="X104" s="504">
        <f t="shared" si="34"/>
        <v>8</v>
      </c>
      <c r="Y104" s="504">
        <v>1</v>
      </c>
      <c r="Z104" s="504">
        <f t="shared" si="28"/>
        <v>0.39359038065109686</v>
      </c>
      <c r="AA104" s="504">
        <f t="shared" si="24"/>
        <v>100</v>
      </c>
      <c r="AB104" s="504">
        <v>7.72</v>
      </c>
      <c r="AC104" s="504">
        <f t="shared" si="43"/>
        <v>96.5</v>
      </c>
      <c r="AD104" s="504"/>
      <c r="AE104" s="508"/>
      <c r="AF104" s="504"/>
      <c r="AG104" s="504"/>
      <c r="AH104" s="504"/>
      <c r="AI104" s="504"/>
      <c r="AJ104" s="504"/>
      <c r="AK104" s="504"/>
      <c r="AL104" s="504"/>
      <c r="AM104" s="504"/>
      <c r="AN104" s="504"/>
      <c r="AO104" s="504"/>
      <c r="AP104" s="504"/>
      <c r="AQ104" s="504"/>
      <c r="AR104" s="505"/>
      <c r="AS104" s="505"/>
      <c r="AT104" s="507"/>
      <c r="AU104" s="693">
        <f>'[2]3rd Trimester Progress(Pradesh '!AB104</f>
        <v>7.72</v>
      </c>
      <c r="AV104" s="693">
        <f t="shared" si="36"/>
        <v>0</v>
      </c>
      <c r="AW104" s="305"/>
      <c r="AX104" s="305"/>
      <c r="AY104" s="305"/>
      <c r="AZ104" s="305"/>
      <c r="BA104" s="305"/>
      <c r="BB104" s="305"/>
      <c r="BC104" s="305"/>
      <c r="BD104" s="305"/>
    </row>
    <row r="105" spans="1:56" s="306" customFormat="1" ht="48">
      <c r="A105" s="433" t="s">
        <v>1078</v>
      </c>
      <c r="B105" s="490" t="s">
        <v>1225</v>
      </c>
      <c r="C105" s="534" t="s">
        <v>1174</v>
      </c>
      <c r="D105" s="532"/>
      <c r="E105" s="284"/>
      <c r="F105" s="284"/>
      <c r="G105" s="284"/>
      <c r="H105" s="284"/>
      <c r="I105" s="284"/>
      <c r="J105" s="504">
        <v>1</v>
      </c>
      <c r="K105" s="504">
        <f t="shared" si="37"/>
        <v>0.39359038065109686</v>
      </c>
      <c r="L105" s="506">
        <v>8</v>
      </c>
      <c r="M105" s="504">
        <f t="shared" si="42"/>
        <v>8</v>
      </c>
      <c r="N105" s="504">
        <v>1</v>
      </c>
      <c r="O105" s="504">
        <f t="shared" si="38"/>
        <v>9.8397595162774215E-2</v>
      </c>
      <c r="P105" s="504">
        <v>2</v>
      </c>
      <c r="Q105" s="504">
        <v>0</v>
      </c>
      <c r="R105" s="504">
        <f t="shared" si="30"/>
        <v>0</v>
      </c>
      <c r="S105" s="504">
        <f t="shared" si="31"/>
        <v>0</v>
      </c>
      <c r="T105" s="504">
        <v>0</v>
      </c>
      <c r="U105" s="504">
        <f t="shared" si="39"/>
        <v>0</v>
      </c>
      <c r="V105" s="504">
        <f t="shared" si="40"/>
        <v>1</v>
      </c>
      <c r="W105" s="504">
        <f t="shared" si="27"/>
        <v>0.39359038065109686</v>
      </c>
      <c r="X105" s="504">
        <f t="shared" si="34"/>
        <v>8</v>
      </c>
      <c r="Y105" s="504">
        <v>1</v>
      </c>
      <c r="Z105" s="504">
        <f t="shared" si="28"/>
        <v>0.39359038065109686</v>
      </c>
      <c r="AA105" s="504">
        <f t="shared" si="24"/>
        <v>100</v>
      </c>
      <c r="AB105" s="504">
        <v>7.99</v>
      </c>
      <c r="AC105" s="504">
        <f t="shared" si="43"/>
        <v>99.875</v>
      </c>
      <c r="AD105" s="504"/>
      <c r="AE105" s="508"/>
      <c r="AF105" s="504"/>
      <c r="AG105" s="504"/>
      <c r="AH105" s="504"/>
      <c r="AI105" s="504"/>
      <c r="AJ105" s="504"/>
      <c r="AK105" s="504"/>
      <c r="AL105" s="504"/>
      <c r="AM105" s="504"/>
      <c r="AN105" s="504"/>
      <c r="AO105" s="504"/>
      <c r="AP105" s="504"/>
      <c r="AQ105" s="504"/>
      <c r="AR105" s="505"/>
      <c r="AS105" s="505"/>
      <c r="AT105" s="507"/>
      <c r="AU105" s="693">
        <f>'[2]3rd Trimester Progress(Pradesh '!AB105</f>
        <v>7.99</v>
      </c>
      <c r="AV105" s="693">
        <f t="shared" si="36"/>
        <v>0</v>
      </c>
      <c r="AW105" s="305"/>
      <c r="AX105" s="305"/>
      <c r="AY105" s="305"/>
      <c r="AZ105" s="305"/>
      <c r="BA105" s="305"/>
      <c r="BB105" s="305"/>
      <c r="BC105" s="305"/>
      <c r="BD105" s="305"/>
    </row>
    <row r="106" spans="1:56" s="306" customFormat="1" ht="48">
      <c r="A106" s="433" t="s">
        <v>1080</v>
      </c>
      <c r="B106" s="493" t="s">
        <v>1227</v>
      </c>
      <c r="C106" s="534" t="s">
        <v>1174</v>
      </c>
      <c r="D106" s="532"/>
      <c r="E106" s="284"/>
      <c r="F106" s="284"/>
      <c r="G106" s="284"/>
      <c r="H106" s="284"/>
      <c r="I106" s="284"/>
      <c r="J106" s="504">
        <v>1</v>
      </c>
      <c r="K106" s="504">
        <f t="shared" si="37"/>
        <v>0.39359038065109686</v>
      </c>
      <c r="L106" s="506">
        <v>8</v>
      </c>
      <c r="M106" s="504">
        <f t="shared" si="42"/>
        <v>8</v>
      </c>
      <c r="N106" s="504">
        <v>1</v>
      </c>
      <c r="O106" s="504">
        <f t="shared" si="38"/>
        <v>9.8397595162774215E-2</v>
      </c>
      <c r="P106" s="504">
        <v>2</v>
      </c>
      <c r="Q106" s="504">
        <v>0</v>
      </c>
      <c r="R106" s="504">
        <f t="shared" si="30"/>
        <v>0</v>
      </c>
      <c r="S106" s="504">
        <f t="shared" si="31"/>
        <v>0</v>
      </c>
      <c r="T106" s="504">
        <v>0</v>
      </c>
      <c r="U106" s="504">
        <f t="shared" si="39"/>
        <v>0</v>
      </c>
      <c r="V106" s="504">
        <f t="shared" si="40"/>
        <v>1</v>
      </c>
      <c r="W106" s="504">
        <f t="shared" si="27"/>
        <v>0.39359038065109686</v>
      </c>
      <c r="X106" s="504">
        <f t="shared" si="34"/>
        <v>8</v>
      </c>
      <c r="Y106" s="504">
        <v>1</v>
      </c>
      <c r="Z106" s="504">
        <f t="shared" ref="Z106" si="44">IF(V106=0,Y106/J106*K106,Y106/V106*W106)</f>
        <v>0.39359038065109686</v>
      </c>
      <c r="AA106" s="504">
        <f t="shared" ref="AA106" si="45">ROUND(IF(W106=0,Z106/K106*100,Z106/W106*100),2)</f>
        <v>100</v>
      </c>
      <c r="AB106" s="504">
        <v>7.6</v>
      </c>
      <c r="AC106" s="504">
        <f t="shared" si="43"/>
        <v>95</v>
      </c>
      <c r="AD106" s="504"/>
      <c r="AE106" s="508"/>
      <c r="AF106" s="504"/>
      <c r="AG106" s="504"/>
      <c r="AH106" s="504"/>
      <c r="AI106" s="504"/>
      <c r="AJ106" s="504"/>
      <c r="AK106" s="504"/>
      <c r="AL106" s="504"/>
      <c r="AM106" s="504"/>
      <c r="AN106" s="504"/>
      <c r="AO106" s="504"/>
      <c r="AP106" s="504"/>
      <c r="AQ106" s="504"/>
      <c r="AR106" s="505"/>
      <c r="AS106" s="505"/>
      <c r="AT106" s="507"/>
      <c r="AU106" s="693">
        <f>'[2]3rd Trimester Progress(Pradesh '!AB106</f>
        <v>7.6</v>
      </c>
      <c r="AV106" s="693">
        <f t="shared" si="36"/>
        <v>0</v>
      </c>
      <c r="AW106" s="305"/>
      <c r="AX106" s="305"/>
      <c r="AY106" s="305"/>
      <c r="AZ106" s="305"/>
      <c r="BA106" s="305"/>
      <c r="BB106" s="305"/>
      <c r="BC106" s="305"/>
      <c r="BD106" s="305"/>
    </row>
    <row r="107" spans="1:56" s="306" customFormat="1" ht="48">
      <c r="A107" s="433" t="s">
        <v>1081</v>
      </c>
      <c r="B107" s="490" t="s">
        <v>945</v>
      </c>
      <c r="C107" s="534" t="s">
        <v>1174</v>
      </c>
      <c r="D107" s="532"/>
      <c r="E107" s="284"/>
      <c r="F107" s="284"/>
      <c r="G107" s="284"/>
      <c r="H107" s="284"/>
      <c r="I107" s="284"/>
      <c r="J107" s="504">
        <v>1</v>
      </c>
      <c r="K107" s="504">
        <f t="shared" si="37"/>
        <v>0.41818977944179042</v>
      </c>
      <c r="L107" s="506">
        <v>8.5</v>
      </c>
      <c r="M107" s="504">
        <f t="shared" si="42"/>
        <v>8.5</v>
      </c>
      <c r="N107" s="504">
        <v>1</v>
      </c>
      <c r="O107" s="504">
        <f t="shared" si="38"/>
        <v>0.10380946289672678</v>
      </c>
      <c r="P107" s="504">
        <v>2.11</v>
      </c>
      <c r="Q107" s="504">
        <v>0.8</v>
      </c>
      <c r="R107" s="504">
        <f t="shared" si="30"/>
        <v>8.3047570317381428E-2</v>
      </c>
      <c r="S107" s="504">
        <f t="shared" si="31"/>
        <v>80</v>
      </c>
      <c r="T107" s="504">
        <v>8.4971499999999995</v>
      </c>
      <c r="U107" s="504">
        <f t="shared" si="39"/>
        <v>402.70853080568719</v>
      </c>
      <c r="V107" s="504">
        <f t="shared" si="40"/>
        <v>1</v>
      </c>
      <c r="W107" s="504">
        <f t="shared" si="27"/>
        <v>0.41818977944179042</v>
      </c>
      <c r="X107" s="504">
        <f t="shared" si="34"/>
        <v>8.5</v>
      </c>
      <c r="Y107" s="504">
        <v>1</v>
      </c>
      <c r="Z107" s="504">
        <f t="shared" si="28"/>
        <v>0.41818977944179042</v>
      </c>
      <c r="AA107" s="504">
        <f t="shared" si="24"/>
        <v>100</v>
      </c>
      <c r="AB107" s="649">
        <v>8.4971499999999995</v>
      </c>
      <c r="AC107" s="504">
        <f t="shared" si="43"/>
        <v>99.966470588235296</v>
      </c>
      <c r="AD107" s="504"/>
      <c r="AE107" s="508"/>
      <c r="AF107" s="504"/>
      <c r="AG107" s="504"/>
      <c r="AH107" s="504"/>
      <c r="AI107" s="504"/>
      <c r="AJ107" s="504"/>
      <c r="AK107" s="504"/>
      <c r="AL107" s="504"/>
      <c r="AM107" s="504"/>
      <c r="AN107" s="504"/>
      <c r="AO107" s="504"/>
      <c r="AP107" s="504"/>
      <c r="AQ107" s="504"/>
      <c r="AR107" s="505"/>
      <c r="AS107" s="505"/>
      <c r="AT107" s="507"/>
      <c r="AU107" s="693">
        <f>'[2]3rd Trimester Progress(Pradesh '!AB107</f>
        <v>0</v>
      </c>
      <c r="AV107" s="693">
        <f t="shared" si="36"/>
        <v>8.4971499999999995</v>
      </c>
      <c r="AW107" s="305"/>
      <c r="AX107" s="305"/>
      <c r="AY107" s="305"/>
      <c r="AZ107" s="305"/>
      <c r="BA107" s="305"/>
      <c r="BB107" s="305"/>
      <c r="BC107" s="305"/>
      <c r="BD107" s="305"/>
    </row>
    <row r="108" spans="1:56" s="306" customFormat="1" ht="25.5" customHeight="1">
      <c r="A108" s="433" t="s">
        <v>1082</v>
      </c>
      <c r="B108" s="490" t="s">
        <v>946</v>
      </c>
      <c r="C108" s="534" t="s">
        <v>1174</v>
      </c>
      <c r="D108" s="532"/>
      <c r="E108" s="284"/>
      <c r="F108" s="284"/>
      <c r="G108" s="284"/>
      <c r="H108" s="284"/>
      <c r="I108" s="284"/>
      <c r="J108" s="504">
        <v>1</v>
      </c>
      <c r="K108" s="504">
        <f t="shared" si="37"/>
        <v>0.41818977944179042</v>
      </c>
      <c r="L108" s="506">
        <v>8.5</v>
      </c>
      <c r="M108" s="504">
        <f t="shared" si="42"/>
        <v>8.5</v>
      </c>
      <c r="N108" s="504">
        <v>1</v>
      </c>
      <c r="O108" s="504">
        <f t="shared" si="38"/>
        <v>0.10380946289672678</v>
      </c>
      <c r="P108" s="504">
        <v>2.11</v>
      </c>
      <c r="Q108" s="504">
        <v>0</v>
      </c>
      <c r="R108" s="504">
        <f t="shared" si="30"/>
        <v>0</v>
      </c>
      <c r="S108" s="504">
        <f t="shared" si="31"/>
        <v>0</v>
      </c>
      <c r="T108" s="504">
        <v>0.16953999999999958</v>
      </c>
      <c r="U108" s="504">
        <f t="shared" si="39"/>
        <v>8.0350710900473743</v>
      </c>
      <c r="V108" s="504">
        <f t="shared" si="40"/>
        <v>1</v>
      </c>
      <c r="W108" s="504">
        <f t="shared" si="27"/>
        <v>0.41818977944179042</v>
      </c>
      <c r="X108" s="504">
        <f t="shared" si="34"/>
        <v>8.5</v>
      </c>
      <c r="Y108" s="504">
        <v>1</v>
      </c>
      <c r="Z108" s="504">
        <f t="shared" si="28"/>
        <v>0.41818977944179042</v>
      </c>
      <c r="AA108" s="504">
        <f t="shared" si="24"/>
        <v>100</v>
      </c>
      <c r="AB108" s="504">
        <v>8.4895399999999999</v>
      </c>
      <c r="AC108" s="504">
        <f t="shared" si="43"/>
        <v>99.876941176470595</v>
      </c>
      <c r="AD108" s="504"/>
      <c r="AE108" s="508"/>
      <c r="AF108" s="504"/>
      <c r="AG108" s="504"/>
      <c r="AH108" s="504"/>
      <c r="AI108" s="504"/>
      <c r="AJ108" s="504"/>
      <c r="AK108" s="504"/>
      <c r="AL108" s="504"/>
      <c r="AM108" s="504"/>
      <c r="AN108" s="504"/>
      <c r="AO108" s="504"/>
      <c r="AP108" s="504"/>
      <c r="AQ108" s="504"/>
      <c r="AR108" s="505"/>
      <c r="AS108" s="505"/>
      <c r="AT108" s="507"/>
      <c r="AU108" s="693">
        <f>'[2]3rd Trimester Progress(Pradesh '!AB108</f>
        <v>8.32</v>
      </c>
      <c r="AV108" s="693">
        <f t="shared" si="36"/>
        <v>0.16953999999999958</v>
      </c>
      <c r="AW108" s="305"/>
      <c r="AX108" s="305"/>
      <c r="AY108" s="305"/>
      <c r="AZ108" s="305"/>
      <c r="BA108" s="305"/>
      <c r="BB108" s="305"/>
      <c r="BC108" s="305"/>
      <c r="BD108" s="305"/>
    </row>
    <row r="109" spans="1:56" s="306" customFormat="1" ht="24">
      <c r="A109" s="433" t="s">
        <v>1083</v>
      </c>
      <c r="B109" s="490" t="s">
        <v>947</v>
      </c>
      <c r="C109" s="534" t="s">
        <v>1174</v>
      </c>
      <c r="D109" s="532"/>
      <c r="E109" s="284"/>
      <c r="F109" s="284"/>
      <c r="G109" s="284"/>
      <c r="H109" s="284"/>
      <c r="I109" s="284"/>
      <c r="J109" s="504">
        <v>1</v>
      </c>
      <c r="K109" s="504">
        <f t="shared" si="37"/>
        <v>0.39359038065109686</v>
      </c>
      <c r="L109" s="506">
        <v>8</v>
      </c>
      <c r="M109" s="504">
        <f t="shared" si="42"/>
        <v>8</v>
      </c>
      <c r="N109" s="504">
        <v>1</v>
      </c>
      <c r="O109" s="504">
        <f t="shared" si="38"/>
        <v>9.8397595162774215E-2</v>
      </c>
      <c r="P109" s="504">
        <v>2</v>
      </c>
      <c r="Q109" s="504">
        <v>0</v>
      </c>
      <c r="R109" s="504">
        <f t="shared" si="30"/>
        <v>0</v>
      </c>
      <c r="S109" s="504">
        <f t="shared" si="31"/>
        <v>0</v>
      </c>
      <c r="T109" s="504">
        <v>0</v>
      </c>
      <c r="U109" s="504">
        <f t="shared" si="39"/>
        <v>0</v>
      </c>
      <c r="V109" s="504">
        <f t="shared" si="40"/>
        <v>1</v>
      </c>
      <c r="W109" s="504">
        <f t="shared" si="27"/>
        <v>0.39359038065109686</v>
      </c>
      <c r="X109" s="504">
        <f t="shared" si="34"/>
        <v>8</v>
      </c>
      <c r="Y109" s="504">
        <v>1</v>
      </c>
      <c r="Z109" s="504">
        <f t="shared" si="28"/>
        <v>0.39359038065109686</v>
      </c>
      <c r="AA109" s="504">
        <f t="shared" si="24"/>
        <v>100</v>
      </c>
      <c r="AB109" s="504">
        <v>7.98</v>
      </c>
      <c r="AC109" s="504">
        <f t="shared" si="43"/>
        <v>99.75</v>
      </c>
      <c r="AD109" s="504"/>
      <c r="AE109" s="508"/>
      <c r="AF109" s="504"/>
      <c r="AG109" s="504"/>
      <c r="AH109" s="504"/>
      <c r="AI109" s="504"/>
      <c r="AJ109" s="504"/>
      <c r="AK109" s="504"/>
      <c r="AL109" s="504"/>
      <c r="AM109" s="504"/>
      <c r="AN109" s="504"/>
      <c r="AO109" s="504"/>
      <c r="AP109" s="504"/>
      <c r="AQ109" s="504"/>
      <c r="AR109" s="505"/>
      <c r="AS109" s="505"/>
      <c r="AT109" s="507"/>
      <c r="AU109" s="693">
        <f>'[2]3rd Trimester Progress(Pradesh '!AB109</f>
        <v>7.98</v>
      </c>
      <c r="AV109" s="693">
        <f t="shared" si="36"/>
        <v>0</v>
      </c>
      <c r="AW109" s="305"/>
      <c r="AX109" s="305"/>
      <c r="AY109" s="305"/>
      <c r="AZ109" s="305"/>
      <c r="BA109" s="305"/>
      <c r="BB109" s="305"/>
      <c r="BC109" s="305"/>
      <c r="BD109" s="305"/>
    </row>
    <row r="110" spans="1:56" s="306" customFormat="1" ht="48">
      <c r="A110" s="433" t="s">
        <v>1084</v>
      </c>
      <c r="B110" s="490" t="s">
        <v>948</v>
      </c>
      <c r="C110" s="534" t="s">
        <v>1174</v>
      </c>
      <c r="D110" s="532"/>
      <c r="E110" s="284"/>
      <c r="F110" s="284"/>
      <c r="G110" s="284"/>
      <c r="H110" s="284"/>
      <c r="I110" s="284"/>
      <c r="J110" s="504">
        <v>1</v>
      </c>
      <c r="K110" s="504">
        <f t="shared" si="37"/>
        <v>0.39359038065109686</v>
      </c>
      <c r="L110" s="506">
        <v>8</v>
      </c>
      <c r="M110" s="504">
        <f t="shared" si="42"/>
        <v>8</v>
      </c>
      <c r="N110" s="504">
        <v>1</v>
      </c>
      <c r="O110" s="504">
        <f t="shared" si="38"/>
        <v>9.8397595162774215E-2</v>
      </c>
      <c r="P110" s="504">
        <v>2</v>
      </c>
      <c r="Q110" s="504">
        <v>0</v>
      </c>
      <c r="R110" s="504">
        <f t="shared" si="30"/>
        <v>0</v>
      </c>
      <c r="S110" s="504">
        <f t="shared" si="31"/>
        <v>0</v>
      </c>
      <c r="T110" s="504">
        <v>0</v>
      </c>
      <c r="U110" s="504">
        <f t="shared" si="39"/>
        <v>0</v>
      </c>
      <c r="V110" s="504">
        <f t="shared" si="40"/>
        <v>1</v>
      </c>
      <c r="W110" s="504">
        <f t="shared" si="27"/>
        <v>0.39359038065109686</v>
      </c>
      <c r="X110" s="504">
        <f t="shared" si="34"/>
        <v>8</v>
      </c>
      <c r="Y110" s="504">
        <v>1</v>
      </c>
      <c r="Z110" s="504">
        <f t="shared" si="28"/>
        <v>0.39359038065109686</v>
      </c>
      <c r="AA110" s="504">
        <f t="shared" si="24"/>
        <v>100</v>
      </c>
      <c r="AB110" s="504">
        <v>7.91</v>
      </c>
      <c r="AC110" s="504">
        <f t="shared" si="43"/>
        <v>98.875</v>
      </c>
      <c r="AD110" s="504"/>
      <c r="AE110" s="508"/>
      <c r="AF110" s="504"/>
      <c r="AG110" s="504"/>
      <c r="AH110" s="504"/>
      <c r="AI110" s="504"/>
      <c r="AJ110" s="504"/>
      <c r="AK110" s="504"/>
      <c r="AL110" s="504"/>
      <c r="AM110" s="504"/>
      <c r="AN110" s="504"/>
      <c r="AO110" s="504"/>
      <c r="AP110" s="504"/>
      <c r="AQ110" s="504"/>
      <c r="AR110" s="505"/>
      <c r="AS110" s="505"/>
      <c r="AT110" s="507"/>
      <c r="AU110" s="693">
        <f>'[2]3rd Trimester Progress(Pradesh '!AB110</f>
        <v>7.91</v>
      </c>
      <c r="AV110" s="693">
        <f t="shared" si="36"/>
        <v>0</v>
      </c>
      <c r="AW110" s="305"/>
      <c r="AX110" s="305"/>
      <c r="AY110" s="305"/>
      <c r="AZ110" s="305"/>
      <c r="BA110" s="305"/>
      <c r="BB110" s="305"/>
      <c r="BC110" s="305"/>
      <c r="BD110" s="305"/>
    </row>
    <row r="111" spans="1:56" s="306" customFormat="1" ht="24">
      <c r="A111" s="433" t="s">
        <v>1085</v>
      </c>
      <c r="B111" s="490" t="s">
        <v>949</v>
      </c>
      <c r="C111" s="534" t="s">
        <v>1174</v>
      </c>
      <c r="D111" s="532"/>
      <c r="E111" s="284"/>
      <c r="F111" s="284"/>
      <c r="G111" s="284"/>
      <c r="H111" s="284"/>
      <c r="I111" s="284"/>
      <c r="J111" s="504">
        <v>1</v>
      </c>
      <c r="K111" s="504">
        <f t="shared" si="37"/>
        <v>0.39359038065109686</v>
      </c>
      <c r="L111" s="506">
        <v>8</v>
      </c>
      <c r="M111" s="504">
        <f t="shared" si="42"/>
        <v>8</v>
      </c>
      <c r="N111" s="504">
        <v>1</v>
      </c>
      <c r="O111" s="504">
        <f t="shared" si="38"/>
        <v>9.8397595162774215E-2</v>
      </c>
      <c r="P111" s="504">
        <v>2</v>
      </c>
      <c r="Q111" s="504">
        <v>0</v>
      </c>
      <c r="R111" s="504">
        <f t="shared" si="30"/>
        <v>0</v>
      </c>
      <c r="S111" s="504">
        <f t="shared" si="31"/>
        <v>0</v>
      </c>
      <c r="T111" s="504">
        <v>0</v>
      </c>
      <c r="U111" s="504">
        <f t="shared" si="39"/>
        <v>0</v>
      </c>
      <c r="V111" s="504">
        <f t="shared" si="40"/>
        <v>1</v>
      </c>
      <c r="W111" s="504">
        <f t="shared" si="27"/>
        <v>0.39359038065109686</v>
      </c>
      <c r="X111" s="504">
        <f t="shared" si="34"/>
        <v>8</v>
      </c>
      <c r="Y111" s="504">
        <v>1</v>
      </c>
      <c r="Z111" s="504">
        <f t="shared" si="28"/>
        <v>0.39359038065109686</v>
      </c>
      <c r="AA111" s="504">
        <f t="shared" si="24"/>
        <v>100</v>
      </c>
      <c r="AB111" s="504">
        <v>7.59</v>
      </c>
      <c r="AC111" s="504">
        <f t="shared" si="43"/>
        <v>94.875</v>
      </c>
      <c r="AD111" s="504"/>
      <c r="AE111" s="508"/>
      <c r="AF111" s="504"/>
      <c r="AG111" s="504"/>
      <c r="AH111" s="504"/>
      <c r="AI111" s="504"/>
      <c r="AJ111" s="504"/>
      <c r="AK111" s="504"/>
      <c r="AL111" s="504"/>
      <c r="AM111" s="504"/>
      <c r="AN111" s="504"/>
      <c r="AO111" s="504"/>
      <c r="AP111" s="504"/>
      <c r="AQ111" s="504"/>
      <c r="AR111" s="505"/>
      <c r="AS111" s="505"/>
      <c r="AT111" s="507"/>
      <c r="AU111" s="693">
        <f>'[2]3rd Trimester Progress(Pradesh '!AB111</f>
        <v>7.59</v>
      </c>
      <c r="AV111" s="693">
        <f t="shared" si="36"/>
        <v>0</v>
      </c>
      <c r="AW111" s="305"/>
      <c r="AX111" s="305"/>
      <c r="AY111" s="305"/>
      <c r="AZ111" s="305"/>
      <c r="BA111" s="305"/>
      <c r="BB111" s="305"/>
      <c r="BC111" s="305"/>
      <c r="BD111" s="305"/>
    </row>
    <row r="112" spans="1:56" s="306" customFormat="1" ht="23.25" customHeight="1">
      <c r="A112" s="433" t="s">
        <v>1086</v>
      </c>
      <c r="B112" s="496" t="s">
        <v>950</v>
      </c>
      <c r="C112" s="534" t="s">
        <v>1174</v>
      </c>
      <c r="D112" s="532"/>
      <c r="E112" s="284"/>
      <c r="F112" s="284"/>
      <c r="G112" s="284"/>
      <c r="H112" s="284"/>
      <c r="I112" s="284"/>
      <c r="J112" s="504">
        <v>1</v>
      </c>
      <c r="K112" s="504">
        <f t="shared" si="37"/>
        <v>0.39359038065109686</v>
      </c>
      <c r="L112" s="506">
        <v>8</v>
      </c>
      <c r="M112" s="504">
        <f t="shared" si="42"/>
        <v>8</v>
      </c>
      <c r="N112" s="504">
        <v>1</v>
      </c>
      <c r="O112" s="504">
        <f t="shared" si="38"/>
        <v>9.8397595162774215E-2</v>
      </c>
      <c r="P112" s="504">
        <v>2</v>
      </c>
      <c r="Q112" s="504">
        <v>0</v>
      </c>
      <c r="R112" s="504">
        <f t="shared" si="30"/>
        <v>0</v>
      </c>
      <c r="S112" s="504">
        <f t="shared" si="31"/>
        <v>0</v>
      </c>
      <c r="T112" s="504">
        <v>0</v>
      </c>
      <c r="U112" s="504">
        <f t="shared" si="39"/>
        <v>0</v>
      </c>
      <c r="V112" s="504">
        <f t="shared" si="40"/>
        <v>1</v>
      </c>
      <c r="W112" s="504">
        <f t="shared" si="27"/>
        <v>0.39359038065109686</v>
      </c>
      <c r="X112" s="504">
        <f t="shared" si="34"/>
        <v>8</v>
      </c>
      <c r="Y112" s="504">
        <v>1</v>
      </c>
      <c r="Z112" s="504">
        <f t="shared" si="28"/>
        <v>0.39359038065109686</v>
      </c>
      <c r="AA112" s="504">
        <f t="shared" si="24"/>
        <v>100</v>
      </c>
      <c r="AB112" s="504">
        <v>7.81</v>
      </c>
      <c r="AC112" s="504">
        <f t="shared" si="43"/>
        <v>97.625</v>
      </c>
      <c r="AD112" s="504"/>
      <c r="AE112" s="508"/>
      <c r="AF112" s="504"/>
      <c r="AG112" s="504"/>
      <c r="AH112" s="504"/>
      <c r="AI112" s="504"/>
      <c r="AJ112" s="504"/>
      <c r="AK112" s="504"/>
      <c r="AL112" s="504"/>
      <c r="AM112" s="504"/>
      <c r="AN112" s="504"/>
      <c r="AO112" s="504"/>
      <c r="AP112" s="504"/>
      <c r="AQ112" s="504"/>
      <c r="AR112" s="505"/>
      <c r="AS112" s="505"/>
      <c r="AT112" s="507"/>
      <c r="AU112" s="693">
        <f>'[2]3rd Trimester Progress(Pradesh '!AB112</f>
        <v>7.81</v>
      </c>
      <c r="AV112" s="693">
        <f t="shared" si="36"/>
        <v>0</v>
      </c>
      <c r="AW112" s="305"/>
      <c r="AX112" s="305"/>
      <c r="AY112" s="305"/>
      <c r="AZ112" s="305"/>
      <c r="BA112" s="305"/>
      <c r="BB112" s="305"/>
      <c r="BC112" s="305"/>
      <c r="BD112" s="305"/>
    </row>
    <row r="113" spans="1:56" s="306" customFormat="1" ht="24">
      <c r="A113" s="433" t="s">
        <v>1087</v>
      </c>
      <c r="B113" s="490" t="s">
        <v>951</v>
      </c>
      <c r="C113" s="534" t="s">
        <v>1174</v>
      </c>
      <c r="D113" s="532"/>
      <c r="E113" s="284"/>
      <c r="F113" s="284"/>
      <c r="G113" s="284"/>
      <c r="H113" s="284"/>
      <c r="I113" s="284"/>
      <c r="J113" s="504">
        <v>1</v>
      </c>
      <c r="K113" s="504">
        <f t="shared" si="37"/>
        <v>0.39359038065109686</v>
      </c>
      <c r="L113" s="506">
        <v>8</v>
      </c>
      <c r="M113" s="504">
        <f t="shared" si="42"/>
        <v>8</v>
      </c>
      <c r="N113" s="504">
        <v>1</v>
      </c>
      <c r="O113" s="504">
        <f t="shared" si="38"/>
        <v>9.8397595162774215E-2</v>
      </c>
      <c r="P113" s="504">
        <v>2</v>
      </c>
      <c r="Q113" s="504">
        <v>0.3</v>
      </c>
      <c r="R113" s="504">
        <f t="shared" si="30"/>
        <v>2.9519278548832264E-2</v>
      </c>
      <c r="S113" s="504">
        <f t="shared" si="31"/>
        <v>30</v>
      </c>
      <c r="T113" s="504">
        <v>7.8271600000000001</v>
      </c>
      <c r="U113" s="504">
        <f t="shared" si="39"/>
        <v>391.358</v>
      </c>
      <c r="V113" s="504">
        <f t="shared" si="40"/>
        <v>1</v>
      </c>
      <c r="W113" s="504">
        <f t="shared" si="27"/>
        <v>0.39359038065109686</v>
      </c>
      <c r="X113" s="504">
        <f t="shared" si="34"/>
        <v>8</v>
      </c>
      <c r="Y113" s="504">
        <v>1</v>
      </c>
      <c r="Z113" s="504">
        <f t="shared" si="28"/>
        <v>0.39359038065109686</v>
      </c>
      <c r="AA113" s="504">
        <f t="shared" si="24"/>
        <v>100</v>
      </c>
      <c r="AB113" s="504">
        <v>7.8271600000000001</v>
      </c>
      <c r="AC113" s="504">
        <f t="shared" si="43"/>
        <v>97.839500000000001</v>
      </c>
      <c r="AD113" s="504"/>
      <c r="AE113" s="508"/>
      <c r="AF113" s="504"/>
      <c r="AG113" s="504"/>
      <c r="AH113" s="504"/>
      <c r="AI113" s="504"/>
      <c r="AJ113" s="504"/>
      <c r="AK113" s="504"/>
      <c r="AL113" s="504"/>
      <c r="AM113" s="504"/>
      <c r="AN113" s="504"/>
      <c r="AO113" s="504"/>
      <c r="AP113" s="504"/>
      <c r="AQ113" s="504"/>
      <c r="AR113" s="505"/>
      <c r="AS113" s="505"/>
      <c r="AT113" s="507"/>
      <c r="AU113" s="693">
        <f>'[2]3rd Trimester Progress(Pradesh '!AB113</f>
        <v>0</v>
      </c>
      <c r="AV113" s="693">
        <f t="shared" si="36"/>
        <v>7.8271600000000001</v>
      </c>
      <c r="AW113" s="305"/>
      <c r="AX113" s="305"/>
      <c r="AY113" s="305"/>
      <c r="AZ113" s="305"/>
      <c r="BA113" s="305"/>
      <c r="BB113" s="305"/>
      <c r="BC113" s="305"/>
      <c r="BD113" s="305"/>
    </row>
    <row r="114" spans="1:56" s="306" customFormat="1" ht="24">
      <c r="A114" s="433" t="s">
        <v>1088</v>
      </c>
      <c r="B114" s="490" t="s">
        <v>952</v>
      </c>
      <c r="C114" s="534" t="s">
        <v>1174</v>
      </c>
      <c r="D114" s="532"/>
      <c r="E114" s="284"/>
      <c r="F114" s="284"/>
      <c r="G114" s="284"/>
      <c r="H114" s="284"/>
      <c r="I114" s="284"/>
      <c r="J114" s="504">
        <v>1</v>
      </c>
      <c r="K114" s="504">
        <f t="shared" si="37"/>
        <v>0.39359038065109686</v>
      </c>
      <c r="L114" s="506">
        <v>8</v>
      </c>
      <c r="M114" s="504">
        <f t="shared" si="42"/>
        <v>8</v>
      </c>
      <c r="N114" s="504">
        <v>1</v>
      </c>
      <c r="O114" s="504">
        <f t="shared" si="38"/>
        <v>9.8397595162774215E-2</v>
      </c>
      <c r="P114" s="504">
        <v>2</v>
      </c>
      <c r="Q114" s="504">
        <v>0</v>
      </c>
      <c r="R114" s="504">
        <f t="shared" si="30"/>
        <v>0</v>
      </c>
      <c r="S114" s="504">
        <f t="shared" si="31"/>
        <v>0</v>
      </c>
      <c r="T114" s="504">
        <v>0</v>
      </c>
      <c r="U114" s="504">
        <f t="shared" si="39"/>
        <v>0</v>
      </c>
      <c r="V114" s="504">
        <f t="shared" si="40"/>
        <v>1</v>
      </c>
      <c r="W114" s="504">
        <f t="shared" si="27"/>
        <v>0.39359038065109686</v>
      </c>
      <c r="X114" s="504">
        <f t="shared" si="34"/>
        <v>8</v>
      </c>
      <c r="Y114" s="504">
        <v>1</v>
      </c>
      <c r="Z114" s="504">
        <f t="shared" si="28"/>
        <v>0.39359038065109686</v>
      </c>
      <c r="AA114" s="504">
        <f t="shared" si="24"/>
        <v>100</v>
      </c>
      <c r="AB114" s="504">
        <v>7.92</v>
      </c>
      <c r="AC114" s="504">
        <f t="shared" si="43"/>
        <v>99</v>
      </c>
      <c r="AD114" s="504"/>
      <c r="AE114" s="508"/>
      <c r="AF114" s="504"/>
      <c r="AG114" s="504"/>
      <c r="AH114" s="504"/>
      <c r="AI114" s="504"/>
      <c r="AJ114" s="504"/>
      <c r="AK114" s="504"/>
      <c r="AL114" s="504"/>
      <c r="AM114" s="504"/>
      <c r="AN114" s="504"/>
      <c r="AO114" s="504"/>
      <c r="AP114" s="504"/>
      <c r="AQ114" s="504"/>
      <c r="AR114" s="505"/>
      <c r="AS114" s="505"/>
      <c r="AT114" s="507"/>
      <c r="AU114" s="693">
        <f>'[2]3rd Trimester Progress(Pradesh '!AB114</f>
        <v>7.92</v>
      </c>
      <c r="AV114" s="693">
        <f t="shared" si="36"/>
        <v>0</v>
      </c>
      <c r="AW114" s="305"/>
      <c r="AX114" s="305"/>
      <c r="AY114" s="305"/>
      <c r="AZ114" s="305"/>
      <c r="BA114" s="305"/>
      <c r="BB114" s="305"/>
      <c r="BC114" s="305"/>
      <c r="BD114" s="305"/>
    </row>
    <row r="115" spans="1:56" s="306" customFormat="1" ht="24">
      <c r="A115" s="433" t="s">
        <v>1089</v>
      </c>
      <c r="B115" s="490" t="s">
        <v>953</v>
      </c>
      <c r="C115" s="534" t="s">
        <v>1174</v>
      </c>
      <c r="D115" s="532"/>
      <c r="E115" s="284"/>
      <c r="F115" s="284"/>
      <c r="G115" s="284"/>
      <c r="H115" s="284"/>
      <c r="I115" s="284"/>
      <c r="J115" s="504">
        <v>1</v>
      </c>
      <c r="K115" s="504">
        <f t="shared" si="37"/>
        <v>0.39359038065109686</v>
      </c>
      <c r="L115" s="506">
        <v>8</v>
      </c>
      <c r="M115" s="504">
        <f t="shared" si="42"/>
        <v>8</v>
      </c>
      <c r="N115" s="504">
        <v>1</v>
      </c>
      <c r="O115" s="504">
        <f t="shared" si="38"/>
        <v>9.8397595162774215E-2</v>
      </c>
      <c r="P115" s="504">
        <v>2</v>
      </c>
      <c r="Q115" s="504">
        <v>0</v>
      </c>
      <c r="R115" s="504">
        <f t="shared" si="30"/>
        <v>0</v>
      </c>
      <c r="S115" s="504">
        <f t="shared" si="31"/>
        <v>0</v>
      </c>
      <c r="T115" s="504">
        <v>0</v>
      </c>
      <c r="U115" s="504">
        <f t="shared" si="39"/>
        <v>0</v>
      </c>
      <c r="V115" s="504">
        <f t="shared" si="40"/>
        <v>1</v>
      </c>
      <c r="W115" s="504">
        <f t="shared" si="27"/>
        <v>0.39359038065109686</v>
      </c>
      <c r="X115" s="504">
        <f t="shared" si="34"/>
        <v>8</v>
      </c>
      <c r="Y115" s="504">
        <v>1</v>
      </c>
      <c r="Z115" s="504">
        <f t="shared" si="28"/>
        <v>0.39359038065109686</v>
      </c>
      <c r="AA115" s="504">
        <f t="shared" si="24"/>
        <v>100</v>
      </c>
      <c r="AB115" s="504">
        <v>7.93</v>
      </c>
      <c r="AC115" s="504">
        <f t="shared" si="43"/>
        <v>99.125</v>
      </c>
      <c r="AD115" s="504"/>
      <c r="AE115" s="508"/>
      <c r="AF115" s="504"/>
      <c r="AG115" s="504"/>
      <c r="AH115" s="504"/>
      <c r="AI115" s="504"/>
      <c r="AJ115" s="504"/>
      <c r="AK115" s="504"/>
      <c r="AL115" s="504"/>
      <c r="AM115" s="504"/>
      <c r="AN115" s="504"/>
      <c r="AO115" s="504"/>
      <c r="AP115" s="504"/>
      <c r="AQ115" s="504"/>
      <c r="AR115" s="505"/>
      <c r="AS115" s="505"/>
      <c r="AT115" s="507"/>
      <c r="AU115" s="693">
        <f>'[2]3rd Trimester Progress(Pradesh '!AB115</f>
        <v>7.93</v>
      </c>
      <c r="AV115" s="693">
        <f t="shared" si="36"/>
        <v>0</v>
      </c>
      <c r="AW115" s="305"/>
      <c r="AX115" s="305"/>
      <c r="AY115" s="305"/>
      <c r="AZ115" s="305"/>
      <c r="BA115" s="305"/>
      <c r="BB115" s="305"/>
      <c r="BC115" s="305"/>
      <c r="BD115" s="305"/>
    </row>
    <row r="116" spans="1:56" s="306" customFormat="1" ht="24">
      <c r="A116" s="433" t="s">
        <v>1090</v>
      </c>
      <c r="B116" s="490" t="s">
        <v>954</v>
      </c>
      <c r="C116" s="534" t="s">
        <v>1174</v>
      </c>
      <c r="D116" s="532"/>
      <c r="E116" s="284"/>
      <c r="F116" s="284"/>
      <c r="G116" s="284"/>
      <c r="H116" s="284"/>
      <c r="I116" s="284"/>
      <c r="J116" s="504">
        <v>1</v>
      </c>
      <c r="K116" s="504">
        <f t="shared" si="37"/>
        <v>0.39359038065109686</v>
      </c>
      <c r="L116" s="506">
        <v>8</v>
      </c>
      <c r="M116" s="504">
        <f t="shared" si="42"/>
        <v>8</v>
      </c>
      <c r="N116" s="504">
        <v>1</v>
      </c>
      <c r="O116" s="504">
        <f t="shared" si="38"/>
        <v>9.8397595162774215E-2</v>
      </c>
      <c r="P116" s="504">
        <v>2</v>
      </c>
      <c r="Q116" s="504">
        <v>0.7</v>
      </c>
      <c r="R116" s="504">
        <f t="shared" si="30"/>
        <v>6.8878316613941948E-2</v>
      </c>
      <c r="S116" s="504">
        <f t="shared" si="31"/>
        <v>70</v>
      </c>
      <c r="T116" s="504">
        <v>7.9616699999999998</v>
      </c>
      <c r="U116" s="504">
        <f t="shared" si="39"/>
        <v>398.08350000000002</v>
      </c>
      <c r="V116" s="504">
        <f t="shared" si="40"/>
        <v>1</v>
      </c>
      <c r="W116" s="504">
        <f t="shared" si="27"/>
        <v>0.39359038065109686</v>
      </c>
      <c r="X116" s="504">
        <f t="shared" si="34"/>
        <v>8</v>
      </c>
      <c r="Y116" s="504">
        <v>1</v>
      </c>
      <c r="Z116" s="504">
        <f t="shared" si="28"/>
        <v>0.39359038065109686</v>
      </c>
      <c r="AA116" s="504">
        <f t="shared" si="24"/>
        <v>100</v>
      </c>
      <c r="AB116" s="504">
        <v>7.9616699999999998</v>
      </c>
      <c r="AC116" s="504">
        <f t="shared" si="43"/>
        <v>99.520875000000004</v>
      </c>
      <c r="AD116" s="504"/>
      <c r="AE116" s="508"/>
      <c r="AF116" s="504"/>
      <c r="AG116" s="504"/>
      <c r="AH116" s="504"/>
      <c r="AI116" s="504"/>
      <c r="AJ116" s="504"/>
      <c r="AK116" s="504"/>
      <c r="AL116" s="504"/>
      <c r="AM116" s="504"/>
      <c r="AN116" s="504"/>
      <c r="AO116" s="504"/>
      <c r="AP116" s="504"/>
      <c r="AQ116" s="504"/>
      <c r="AR116" s="505"/>
      <c r="AS116" s="505"/>
      <c r="AT116" s="507"/>
      <c r="AU116" s="693">
        <f>'[2]3rd Trimester Progress(Pradesh '!AB116</f>
        <v>0</v>
      </c>
      <c r="AV116" s="693">
        <f t="shared" si="36"/>
        <v>7.9616699999999998</v>
      </c>
      <c r="AW116" s="305"/>
      <c r="AX116" s="305"/>
      <c r="AY116" s="305"/>
      <c r="AZ116" s="305"/>
      <c r="BA116" s="305"/>
      <c r="BB116" s="305"/>
      <c r="BC116" s="305"/>
      <c r="BD116" s="305"/>
    </row>
    <row r="117" spans="1:56" s="306" customFormat="1" ht="24">
      <c r="A117" s="433" t="s">
        <v>1091</v>
      </c>
      <c r="B117" s="490" t="s">
        <v>955</v>
      </c>
      <c r="C117" s="534" t="s">
        <v>1174</v>
      </c>
      <c r="D117" s="532"/>
      <c r="E117" s="284"/>
      <c r="F117" s="284"/>
      <c r="G117" s="284"/>
      <c r="H117" s="284"/>
      <c r="I117" s="284"/>
      <c r="J117" s="504">
        <v>1</v>
      </c>
      <c r="K117" s="504">
        <f t="shared" si="37"/>
        <v>0.39359038065109686</v>
      </c>
      <c r="L117" s="506">
        <v>8</v>
      </c>
      <c r="M117" s="504">
        <f t="shared" si="42"/>
        <v>8</v>
      </c>
      <c r="N117" s="504">
        <v>1</v>
      </c>
      <c r="O117" s="504">
        <f t="shared" si="38"/>
        <v>9.8397595162774215E-2</v>
      </c>
      <c r="P117" s="504">
        <v>2</v>
      </c>
      <c r="Q117" s="504">
        <v>0.8</v>
      </c>
      <c r="R117" s="504">
        <f t="shared" si="30"/>
        <v>7.8718076130219375E-2</v>
      </c>
      <c r="S117" s="504">
        <f t="shared" si="31"/>
        <v>80</v>
      </c>
      <c r="T117" s="504">
        <v>7.4756200000000002</v>
      </c>
      <c r="U117" s="504">
        <f t="shared" si="39"/>
        <v>373.78100000000001</v>
      </c>
      <c r="V117" s="504">
        <f t="shared" si="40"/>
        <v>1</v>
      </c>
      <c r="W117" s="504">
        <f t="shared" si="27"/>
        <v>0.39359038065109686</v>
      </c>
      <c r="X117" s="504">
        <f t="shared" si="34"/>
        <v>8</v>
      </c>
      <c r="Y117" s="504">
        <v>1</v>
      </c>
      <c r="Z117" s="504">
        <f t="shared" si="28"/>
        <v>0.39359038065109686</v>
      </c>
      <c r="AA117" s="504">
        <f t="shared" si="24"/>
        <v>100</v>
      </c>
      <c r="AB117" s="504">
        <v>7.4756200000000002</v>
      </c>
      <c r="AC117" s="504">
        <f t="shared" si="43"/>
        <v>93.445250000000001</v>
      </c>
      <c r="AD117" s="504"/>
      <c r="AE117" s="508"/>
      <c r="AF117" s="504"/>
      <c r="AG117" s="504"/>
      <c r="AH117" s="504"/>
      <c r="AI117" s="504"/>
      <c r="AJ117" s="504"/>
      <c r="AK117" s="504"/>
      <c r="AL117" s="504"/>
      <c r="AM117" s="504"/>
      <c r="AN117" s="504"/>
      <c r="AO117" s="504"/>
      <c r="AP117" s="504"/>
      <c r="AQ117" s="504"/>
      <c r="AR117" s="505"/>
      <c r="AS117" s="505"/>
      <c r="AT117" s="507"/>
      <c r="AU117" s="693">
        <f>'[2]3rd Trimester Progress(Pradesh '!AB117</f>
        <v>0</v>
      </c>
      <c r="AV117" s="693">
        <f t="shared" si="36"/>
        <v>7.4756200000000002</v>
      </c>
      <c r="AW117" s="305"/>
      <c r="AX117" s="305"/>
      <c r="AY117" s="305"/>
      <c r="AZ117" s="305"/>
      <c r="BA117" s="305"/>
      <c r="BB117" s="305"/>
      <c r="BC117" s="305"/>
      <c r="BD117" s="305"/>
    </row>
    <row r="118" spans="1:56" s="306" customFormat="1" ht="24">
      <c r="A118" s="433" t="s">
        <v>1092</v>
      </c>
      <c r="B118" s="490" t="s">
        <v>956</v>
      </c>
      <c r="C118" s="534" t="s">
        <v>1174</v>
      </c>
      <c r="D118" s="532"/>
      <c r="E118" s="284"/>
      <c r="F118" s="284"/>
      <c r="G118" s="284"/>
      <c r="H118" s="284"/>
      <c r="I118" s="284"/>
      <c r="J118" s="504">
        <v>1</v>
      </c>
      <c r="K118" s="504">
        <f t="shared" si="37"/>
        <v>0.39359038065109686</v>
      </c>
      <c r="L118" s="506">
        <v>8</v>
      </c>
      <c r="M118" s="504">
        <f t="shared" si="42"/>
        <v>8</v>
      </c>
      <c r="N118" s="504">
        <v>1</v>
      </c>
      <c r="O118" s="504">
        <f t="shared" si="38"/>
        <v>9.8397595162774215E-2</v>
      </c>
      <c r="P118" s="504">
        <v>2</v>
      </c>
      <c r="Q118" s="504">
        <v>0</v>
      </c>
      <c r="R118" s="504">
        <f t="shared" si="30"/>
        <v>0</v>
      </c>
      <c r="S118" s="504">
        <f t="shared" si="31"/>
        <v>0</v>
      </c>
      <c r="T118" s="504">
        <v>0</v>
      </c>
      <c r="U118" s="504">
        <f t="shared" si="39"/>
        <v>0</v>
      </c>
      <c r="V118" s="504">
        <f t="shared" si="40"/>
        <v>1</v>
      </c>
      <c r="W118" s="504">
        <f t="shared" si="27"/>
        <v>0.39359038065109686</v>
      </c>
      <c r="X118" s="504">
        <f t="shared" si="34"/>
        <v>8</v>
      </c>
      <c r="Y118" s="504">
        <v>1</v>
      </c>
      <c r="Z118" s="504">
        <f t="shared" si="28"/>
        <v>0.39359038065109686</v>
      </c>
      <c r="AA118" s="504">
        <f t="shared" si="24"/>
        <v>100</v>
      </c>
      <c r="AB118" s="504">
        <v>7.9</v>
      </c>
      <c r="AC118" s="504">
        <f t="shared" si="43"/>
        <v>98.75</v>
      </c>
      <c r="AD118" s="504"/>
      <c r="AE118" s="508"/>
      <c r="AF118" s="504"/>
      <c r="AG118" s="504"/>
      <c r="AH118" s="504"/>
      <c r="AI118" s="504"/>
      <c r="AJ118" s="504"/>
      <c r="AK118" s="504"/>
      <c r="AL118" s="504"/>
      <c r="AM118" s="504"/>
      <c r="AN118" s="504"/>
      <c r="AO118" s="504"/>
      <c r="AP118" s="504"/>
      <c r="AQ118" s="504"/>
      <c r="AR118" s="505"/>
      <c r="AS118" s="505"/>
      <c r="AT118" s="507"/>
      <c r="AU118" s="693">
        <f>'[2]3rd Trimester Progress(Pradesh '!AB118</f>
        <v>7.9</v>
      </c>
      <c r="AV118" s="693">
        <f t="shared" si="36"/>
        <v>0</v>
      </c>
      <c r="AW118" s="305"/>
      <c r="AX118" s="305"/>
      <c r="AY118" s="305"/>
      <c r="AZ118" s="305"/>
      <c r="BA118" s="305"/>
      <c r="BB118" s="305"/>
      <c r="BC118" s="305"/>
      <c r="BD118" s="305"/>
    </row>
    <row r="119" spans="1:56" s="306" customFormat="1" ht="24">
      <c r="A119" s="433" t="s">
        <v>1093</v>
      </c>
      <c r="B119" s="490" t="s">
        <v>957</v>
      </c>
      <c r="C119" s="534" t="s">
        <v>1174</v>
      </c>
      <c r="D119" s="532"/>
      <c r="E119" s="284"/>
      <c r="F119" s="284"/>
      <c r="G119" s="284"/>
      <c r="H119" s="284"/>
      <c r="I119" s="284"/>
      <c r="J119" s="504">
        <v>1</v>
      </c>
      <c r="K119" s="504">
        <f t="shared" si="37"/>
        <v>0.39359038065109686</v>
      </c>
      <c r="L119" s="506">
        <v>8</v>
      </c>
      <c r="M119" s="504">
        <f t="shared" si="42"/>
        <v>8</v>
      </c>
      <c r="N119" s="504">
        <v>1</v>
      </c>
      <c r="O119" s="504">
        <f t="shared" si="38"/>
        <v>9.8397595162774215E-2</v>
      </c>
      <c r="P119" s="504">
        <v>2</v>
      </c>
      <c r="Q119" s="504">
        <v>0.8</v>
      </c>
      <c r="R119" s="504">
        <f t="shared" si="30"/>
        <v>7.8718076130219375E-2</v>
      </c>
      <c r="S119" s="504">
        <f t="shared" si="31"/>
        <v>80</v>
      </c>
      <c r="T119" s="504">
        <v>7.8796900000000001</v>
      </c>
      <c r="U119" s="504">
        <f t="shared" si="39"/>
        <v>393.98450000000003</v>
      </c>
      <c r="V119" s="504">
        <f t="shared" si="40"/>
        <v>1</v>
      </c>
      <c r="W119" s="504">
        <f t="shared" si="27"/>
        <v>0.39359038065109686</v>
      </c>
      <c r="X119" s="504">
        <f t="shared" si="34"/>
        <v>8</v>
      </c>
      <c r="Y119" s="504">
        <v>1</v>
      </c>
      <c r="Z119" s="504">
        <f t="shared" si="28"/>
        <v>0.39359038065109686</v>
      </c>
      <c r="AA119" s="504">
        <f t="shared" si="24"/>
        <v>100</v>
      </c>
      <c r="AB119" s="504">
        <v>7.8796900000000001</v>
      </c>
      <c r="AC119" s="504">
        <f t="shared" si="43"/>
        <v>98.496125000000006</v>
      </c>
      <c r="AD119" s="504"/>
      <c r="AE119" s="508"/>
      <c r="AF119" s="504"/>
      <c r="AG119" s="504"/>
      <c r="AH119" s="504"/>
      <c r="AI119" s="504"/>
      <c r="AJ119" s="504"/>
      <c r="AK119" s="504"/>
      <c r="AL119" s="504"/>
      <c r="AM119" s="504"/>
      <c r="AN119" s="504"/>
      <c r="AO119" s="504"/>
      <c r="AP119" s="504"/>
      <c r="AQ119" s="504"/>
      <c r="AR119" s="505"/>
      <c r="AS119" s="505"/>
      <c r="AT119" s="507"/>
      <c r="AU119" s="693">
        <f>'[2]3rd Trimester Progress(Pradesh '!AB119</f>
        <v>0</v>
      </c>
      <c r="AV119" s="693">
        <f t="shared" si="36"/>
        <v>7.8796900000000001</v>
      </c>
      <c r="AW119" s="305"/>
      <c r="AX119" s="305"/>
      <c r="AY119" s="305"/>
      <c r="AZ119" s="305"/>
      <c r="BA119" s="305"/>
      <c r="BB119" s="305"/>
      <c r="BC119" s="305"/>
      <c r="BD119" s="305"/>
    </row>
    <row r="120" spans="1:56" s="306" customFormat="1" ht="24">
      <c r="A120" s="433" t="s">
        <v>1094</v>
      </c>
      <c r="B120" s="486" t="s">
        <v>1176</v>
      </c>
      <c r="C120" s="534" t="s">
        <v>1174</v>
      </c>
      <c r="D120" s="532"/>
      <c r="E120" s="284"/>
      <c r="F120" s="284"/>
      <c r="G120" s="284"/>
      <c r="H120" s="284"/>
      <c r="I120" s="284"/>
      <c r="J120" s="504">
        <v>1</v>
      </c>
      <c r="K120" s="504">
        <f t="shared" si="37"/>
        <v>0.39359038065109686</v>
      </c>
      <c r="L120" s="506">
        <v>8</v>
      </c>
      <c r="M120" s="504">
        <f t="shared" si="42"/>
        <v>8</v>
      </c>
      <c r="N120" s="504">
        <v>1</v>
      </c>
      <c r="O120" s="504">
        <f t="shared" si="38"/>
        <v>9.8397595162774215E-2</v>
      </c>
      <c r="P120" s="504">
        <v>2</v>
      </c>
      <c r="Q120" s="504">
        <v>0.35</v>
      </c>
      <c r="R120" s="504">
        <f t="shared" si="30"/>
        <v>3.4439158306970974E-2</v>
      </c>
      <c r="S120" s="504">
        <f t="shared" si="31"/>
        <v>35</v>
      </c>
      <c r="T120" s="504">
        <v>7.9860300000000004</v>
      </c>
      <c r="U120" s="504">
        <f t="shared" si="39"/>
        <v>399.30150000000003</v>
      </c>
      <c r="V120" s="504">
        <f t="shared" si="40"/>
        <v>1</v>
      </c>
      <c r="W120" s="504">
        <f t="shared" si="27"/>
        <v>0.39359038065109686</v>
      </c>
      <c r="X120" s="504">
        <f t="shared" si="34"/>
        <v>8</v>
      </c>
      <c r="Y120" s="504">
        <v>1</v>
      </c>
      <c r="Z120" s="504">
        <f t="shared" si="28"/>
        <v>0.39359038065109686</v>
      </c>
      <c r="AA120" s="504">
        <f t="shared" si="24"/>
        <v>100</v>
      </c>
      <c r="AB120" s="504">
        <v>7.9860300000000004</v>
      </c>
      <c r="AC120" s="504">
        <f t="shared" si="43"/>
        <v>99.825375000000008</v>
      </c>
      <c r="AD120" s="504"/>
      <c r="AE120" s="508"/>
      <c r="AF120" s="504"/>
      <c r="AG120" s="504"/>
      <c r="AH120" s="504"/>
      <c r="AI120" s="504"/>
      <c r="AJ120" s="504"/>
      <c r="AK120" s="504"/>
      <c r="AL120" s="504"/>
      <c r="AM120" s="504"/>
      <c r="AN120" s="504"/>
      <c r="AO120" s="504"/>
      <c r="AP120" s="504"/>
      <c r="AQ120" s="504"/>
      <c r="AR120" s="505"/>
      <c r="AS120" s="505"/>
      <c r="AT120" s="507"/>
      <c r="AU120" s="693">
        <f>'[2]3rd Trimester Progress(Pradesh '!AB120</f>
        <v>0</v>
      </c>
      <c r="AV120" s="693">
        <f t="shared" si="36"/>
        <v>7.9860300000000004</v>
      </c>
      <c r="AW120" s="305"/>
      <c r="AX120" s="305"/>
      <c r="AY120" s="305"/>
      <c r="AZ120" s="305"/>
      <c r="BA120" s="305"/>
      <c r="BB120" s="305"/>
      <c r="BC120" s="305"/>
      <c r="BD120" s="305"/>
    </row>
    <row r="121" spans="1:56" s="306" customFormat="1" ht="24">
      <c r="A121" s="433" t="s">
        <v>1095</v>
      </c>
      <c r="B121" s="490" t="s">
        <v>958</v>
      </c>
      <c r="C121" s="534" t="s">
        <v>1174</v>
      </c>
      <c r="D121" s="532"/>
      <c r="E121" s="284"/>
      <c r="F121" s="284"/>
      <c r="G121" s="284"/>
      <c r="H121" s="284"/>
      <c r="I121" s="284"/>
      <c r="J121" s="504">
        <v>1</v>
      </c>
      <c r="K121" s="504">
        <f t="shared" si="37"/>
        <v>0.39359038065109686</v>
      </c>
      <c r="L121" s="506">
        <v>8</v>
      </c>
      <c r="M121" s="504">
        <f t="shared" si="42"/>
        <v>8</v>
      </c>
      <c r="N121" s="504">
        <v>1</v>
      </c>
      <c r="O121" s="504">
        <f t="shared" si="38"/>
        <v>9.8397595162774215E-2</v>
      </c>
      <c r="P121" s="504">
        <v>2</v>
      </c>
      <c r="Q121" s="504">
        <v>0</v>
      </c>
      <c r="R121" s="504">
        <f t="shared" si="30"/>
        <v>0</v>
      </c>
      <c r="S121" s="504">
        <f t="shared" si="31"/>
        <v>0</v>
      </c>
      <c r="T121" s="504">
        <v>0</v>
      </c>
      <c r="U121" s="504">
        <f t="shared" si="39"/>
        <v>0</v>
      </c>
      <c r="V121" s="504">
        <f t="shared" si="40"/>
        <v>1</v>
      </c>
      <c r="W121" s="504">
        <f t="shared" si="27"/>
        <v>0.39359038065109686</v>
      </c>
      <c r="X121" s="504">
        <f t="shared" si="34"/>
        <v>8</v>
      </c>
      <c r="Y121" s="504">
        <v>1</v>
      </c>
      <c r="Z121" s="504">
        <f t="shared" ref="Z121:Z163" si="46">IF(V121=0,Y121/J121*K121,Y121/V121*W121)</f>
        <v>0.39359038065109686</v>
      </c>
      <c r="AA121" s="504">
        <f t="shared" ref="AA121:AA163" si="47">ROUND(IF(W121=0,Z121/K121*100,Z121/W121*100),2)</f>
        <v>100</v>
      </c>
      <c r="AB121" s="504">
        <v>7.77</v>
      </c>
      <c r="AC121" s="504">
        <f t="shared" si="43"/>
        <v>97.125</v>
      </c>
      <c r="AD121" s="504"/>
      <c r="AE121" s="508"/>
      <c r="AF121" s="504"/>
      <c r="AG121" s="504"/>
      <c r="AH121" s="504"/>
      <c r="AI121" s="504"/>
      <c r="AJ121" s="504"/>
      <c r="AK121" s="504"/>
      <c r="AL121" s="504"/>
      <c r="AM121" s="504"/>
      <c r="AN121" s="504"/>
      <c r="AO121" s="504"/>
      <c r="AP121" s="504"/>
      <c r="AQ121" s="504"/>
      <c r="AR121" s="505"/>
      <c r="AS121" s="505"/>
      <c r="AT121" s="507"/>
      <c r="AU121" s="693">
        <f>'[2]3rd Trimester Progress(Pradesh '!AB121</f>
        <v>7.77</v>
      </c>
      <c r="AV121" s="693">
        <f t="shared" si="36"/>
        <v>0</v>
      </c>
      <c r="AW121" s="305"/>
      <c r="AX121" s="305"/>
      <c r="AY121" s="305"/>
      <c r="AZ121" s="305"/>
      <c r="BA121" s="305"/>
      <c r="BB121" s="305"/>
      <c r="BC121" s="305"/>
      <c r="BD121" s="305"/>
    </row>
    <row r="122" spans="1:56" s="306" customFormat="1" ht="48">
      <c r="A122" s="433" t="s">
        <v>1096</v>
      </c>
      <c r="B122" s="486" t="s">
        <v>959</v>
      </c>
      <c r="C122" s="534" t="s">
        <v>1174</v>
      </c>
      <c r="D122" s="532"/>
      <c r="E122" s="284"/>
      <c r="F122" s="284"/>
      <c r="G122" s="284"/>
      <c r="H122" s="284"/>
      <c r="I122" s="284"/>
      <c r="J122" s="504">
        <v>1</v>
      </c>
      <c r="K122" s="504">
        <f t="shared" si="37"/>
        <v>0.39359038065109686</v>
      </c>
      <c r="L122" s="506">
        <v>8</v>
      </c>
      <c r="M122" s="504">
        <f t="shared" si="42"/>
        <v>8</v>
      </c>
      <c r="N122" s="504">
        <v>1</v>
      </c>
      <c r="O122" s="504">
        <f t="shared" si="38"/>
        <v>9.8397595162774215E-2</v>
      </c>
      <c r="P122" s="504">
        <v>2</v>
      </c>
      <c r="Q122" s="504">
        <v>0</v>
      </c>
      <c r="R122" s="504">
        <f t="shared" si="30"/>
        <v>0</v>
      </c>
      <c r="S122" s="504">
        <f t="shared" si="31"/>
        <v>0</v>
      </c>
      <c r="T122" s="504">
        <v>0</v>
      </c>
      <c r="U122" s="504">
        <f t="shared" si="39"/>
        <v>0</v>
      </c>
      <c r="V122" s="504">
        <f t="shared" si="40"/>
        <v>1</v>
      </c>
      <c r="W122" s="504">
        <f t="shared" si="27"/>
        <v>0.39359038065109686</v>
      </c>
      <c r="X122" s="504">
        <f t="shared" si="34"/>
        <v>8</v>
      </c>
      <c r="Y122" s="504">
        <v>1</v>
      </c>
      <c r="Z122" s="504">
        <f t="shared" si="46"/>
        <v>0.39359038065109686</v>
      </c>
      <c r="AA122" s="504">
        <f t="shared" si="47"/>
        <v>100</v>
      </c>
      <c r="AB122" s="504">
        <v>7.68</v>
      </c>
      <c r="AC122" s="504">
        <f t="shared" si="43"/>
        <v>96</v>
      </c>
      <c r="AD122" s="504"/>
      <c r="AE122" s="508"/>
      <c r="AF122" s="504"/>
      <c r="AG122" s="504"/>
      <c r="AH122" s="504"/>
      <c r="AI122" s="504"/>
      <c r="AJ122" s="504"/>
      <c r="AK122" s="504"/>
      <c r="AL122" s="504"/>
      <c r="AM122" s="504"/>
      <c r="AN122" s="504"/>
      <c r="AO122" s="504"/>
      <c r="AP122" s="504"/>
      <c r="AQ122" s="504"/>
      <c r="AR122" s="505"/>
      <c r="AS122" s="505"/>
      <c r="AT122" s="507"/>
      <c r="AU122" s="693">
        <f>'[2]3rd Trimester Progress(Pradesh '!AB122</f>
        <v>7.68</v>
      </c>
      <c r="AV122" s="693">
        <f t="shared" si="36"/>
        <v>0</v>
      </c>
      <c r="AW122" s="305"/>
      <c r="AX122" s="305"/>
      <c r="AY122" s="305"/>
      <c r="AZ122" s="305"/>
      <c r="BA122" s="305"/>
      <c r="BB122" s="305"/>
      <c r="BC122" s="305"/>
      <c r="BD122" s="305"/>
    </row>
    <row r="123" spans="1:56" s="306" customFormat="1" ht="48">
      <c r="A123" s="433" t="s">
        <v>1097</v>
      </c>
      <c r="B123" s="486" t="s">
        <v>1228</v>
      </c>
      <c r="C123" s="534" t="s">
        <v>1174</v>
      </c>
      <c r="D123" s="532"/>
      <c r="E123" s="284"/>
      <c r="F123" s="284"/>
      <c r="G123" s="284"/>
      <c r="H123" s="284"/>
      <c r="I123" s="284"/>
      <c r="J123" s="504">
        <v>1</v>
      </c>
      <c r="K123" s="504">
        <f t="shared" si="37"/>
        <v>0.39359038065109686</v>
      </c>
      <c r="L123" s="506">
        <v>8</v>
      </c>
      <c r="M123" s="504">
        <f t="shared" si="42"/>
        <v>8</v>
      </c>
      <c r="N123" s="504">
        <v>1</v>
      </c>
      <c r="O123" s="504">
        <f t="shared" si="38"/>
        <v>9.8397595162774215E-2</v>
      </c>
      <c r="P123" s="504">
        <v>2</v>
      </c>
      <c r="Q123" s="504">
        <v>0</v>
      </c>
      <c r="R123" s="504">
        <f t="shared" si="30"/>
        <v>0</v>
      </c>
      <c r="S123" s="504">
        <f t="shared" si="31"/>
        <v>0</v>
      </c>
      <c r="T123" s="504">
        <v>0</v>
      </c>
      <c r="U123" s="504">
        <f t="shared" si="39"/>
        <v>0</v>
      </c>
      <c r="V123" s="504">
        <f t="shared" si="40"/>
        <v>1</v>
      </c>
      <c r="W123" s="504">
        <f t="shared" si="27"/>
        <v>0.39359038065109686</v>
      </c>
      <c r="X123" s="504">
        <f t="shared" si="34"/>
        <v>8</v>
      </c>
      <c r="Y123" s="504">
        <v>1</v>
      </c>
      <c r="Z123" s="504">
        <f t="shared" ref="Z123" si="48">IF(V123=0,Y123/J123*K123,Y123/V123*W123)</f>
        <v>0.39359038065109686</v>
      </c>
      <c r="AA123" s="504">
        <f t="shared" ref="AA123" si="49">ROUND(IF(W123=0,Z123/K123*100,Z123/W123*100),2)</f>
        <v>100</v>
      </c>
      <c r="AB123" s="504">
        <v>7.58</v>
      </c>
      <c r="AC123" s="504">
        <f t="shared" si="43"/>
        <v>94.75</v>
      </c>
      <c r="AD123" s="504"/>
      <c r="AE123" s="508"/>
      <c r="AF123" s="504"/>
      <c r="AG123" s="504"/>
      <c r="AH123" s="504"/>
      <c r="AI123" s="504"/>
      <c r="AJ123" s="504"/>
      <c r="AK123" s="504"/>
      <c r="AL123" s="504"/>
      <c r="AM123" s="504"/>
      <c r="AN123" s="504"/>
      <c r="AO123" s="504"/>
      <c r="AP123" s="504"/>
      <c r="AQ123" s="504"/>
      <c r="AR123" s="505"/>
      <c r="AS123" s="505"/>
      <c r="AT123" s="507"/>
      <c r="AU123" s="693">
        <f>'[2]3rd Trimester Progress(Pradesh '!AB123</f>
        <v>7.58</v>
      </c>
      <c r="AV123" s="693">
        <f t="shared" si="36"/>
        <v>0</v>
      </c>
      <c r="AW123" s="305"/>
      <c r="AX123" s="305"/>
      <c r="AY123" s="305"/>
      <c r="AZ123" s="305"/>
      <c r="BA123" s="305"/>
      <c r="BB123" s="305"/>
      <c r="BC123" s="305"/>
      <c r="BD123" s="305"/>
    </row>
    <row r="124" spans="1:56" s="306" customFormat="1" ht="24">
      <c r="A124" s="433" t="s">
        <v>1099</v>
      </c>
      <c r="B124" s="486" t="s">
        <v>960</v>
      </c>
      <c r="C124" s="534" t="s">
        <v>1174</v>
      </c>
      <c r="D124" s="532"/>
      <c r="E124" s="284"/>
      <c r="F124" s="284"/>
      <c r="G124" s="284"/>
      <c r="H124" s="284"/>
      <c r="I124" s="284"/>
      <c r="J124" s="504">
        <v>1</v>
      </c>
      <c r="K124" s="504">
        <f t="shared" si="37"/>
        <v>0.39359038065109686</v>
      </c>
      <c r="L124" s="506">
        <v>8</v>
      </c>
      <c r="M124" s="504">
        <f t="shared" si="42"/>
        <v>8</v>
      </c>
      <c r="N124" s="504">
        <v>1</v>
      </c>
      <c r="O124" s="504">
        <f t="shared" si="38"/>
        <v>9.8397595162774215E-2</v>
      </c>
      <c r="P124" s="504">
        <v>2</v>
      </c>
      <c r="Q124" s="504">
        <v>0</v>
      </c>
      <c r="R124" s="504">
        <f t="shared" si="30"/>
        <v>0</v>
      </c>
      <c r="S124" s="504">
        <f t="shared" si="31"/>
        <v>0</v>
      </c>
      <c r="T124" s="504">
        <v>0</v>
      </c>
      <c r="U124" s="504">
        <f t="shared" si="39"/>
        <v>0</v>
      </c>
      <c r="V124" s="504">
        <f t="shared" si="40"/>
        <v>1</v>
      </c>
      <c r="W124" s="504">
        <f t="shared" si="27"/>
        <v>0.39359038065109686</v>
      </c>
      <c r="X124" s="504">
        <f t="shared" si="34"/>
        <v>8</v>
      </c>
      <c r="Y124" s="504">
        <v>1</v>
      </c>
      <c r="Z124" s="504">
        <f t="shared" si="46"/>
        <v>0.39359038065109686</v>
      </c>
      <c r="AA124" s="504">
        <f t="shared" si="47"/>
        <v>100</v>
      </c>
      <c r="AB124" s="504">
        <v>7.62</v>
      </c>
      <c r="AC124" s="504">
        <f t="shared" si="43"/>
        <v>95.25</v>
      </c>
      <c r="AD124" s="504"/>
      <c r="AE124" s="508"/>
      <c r="AF124" s="504"/>
      <c r="AG124" s="504"/>
      <c r="AH124" s="504"/>
      <c r="AI124" s="504"/>
      <c r="AJ124" s="504"/>
      <c r="AK124" s="504"/>
      <c r="AL124" s="504"/>
      <c r="AM124" s="504"/>
      <c r="AN124" s="504"/>
      <c r="AO124" s="504"/>
      <c r="AP124" s="504"/>
      <c r="AQ124" s="504"/>
      <c r="AR124" s="505"/>
      <c r="AS124" s="505"/>
      <c r="AT124" s="507"/>
      <c r="AU124" s="693">
        <f>'[2]3rd Trimester Progress(Pradesh '!AB124</f>
        <v>7.62</v>
      </c>
      <c r="AV124" s="693">
        <f t="shared" si="36"/>
        <v>0</v>
      </c>
      <c r="AW124" s="305"/>
      <c r="AX124" s="305"/>
      <c r="AY124" s="305"/>
      <c r="AZ124" s="305"/>
      <c r="BA124" s="305"/>
      <c r="BB124" s="305"/>
      <c r="BC124" s="305"/>
      <c r="BD124" s="305"/>
    </row>
    <row r="125" spans="1:56" s="306" customFormat="1" ht="24.75" customHeight="1">
      <c r="A125" s="433" t="s">
        <v>1100</v>
      </c>
      <c r="B125" s="486" t="s">
        <v>961</v>
      </c>
      <c r="C125" s="534" t="s">
        <v>1174</v>
      </c>
      <c r="D125" s="532"/>
      <c r="E125" s="284"/>
      <c r="F125" s="284"/>
      <c r="G125" s="284"/>
      <c r="H125" s="284"/>
      <c r="I125" s="284"/>
      <c r="J125" s="504">
        <v>1</v>
      </c>
      <c r="K125" s="504">
        <f t="shared" si="37"/>
        <v>1.377566332278839</v>
      </c>
      <c r="L125" s="506">
        <v>28</v>
      </c>
      <c r="M125" s="504">
        <f t="shared" si="42"/>
        <v>28</v>
      </c>
      <c r="N125" s="504">
        <v>1</v>
      </c>
      <c r="O125" s="504">
        <f t="shared" si="38"/>
        <v>0.34439158306970974</v>
      </c>
      <c r="P125" s="504">
        <v>7</v>
      </c>
      <c r="Q125" s="504">
        <v>0</v>
      </c>
      <c r="R125" s="504">
        <f t="shared" si="30"/>
        <v>0</v>
      </c>
      <c r="S125" s="504">
        <f t="shared" si="31"/>
        <v>0</v>
      </c>
      <c r="T125" s="504">
        <v>1.0063899999999997</v>
      </c>
      <c r="U125" s="504">
        <f t="shared" si="39"/>
        <v>14.376999999999995</v>
      </c>
      <c r="V125" s="504">
        <f t="shared" si="40"/>
        <v>1</v>
      </c>
      <c r="W125" s="504">
        <f t="shared" si="27"/>
        <v>1.377566332278839</v>
      </c>
      <c r="X125" s="504">
        <f t="shared" si="34"/>
        <v>28</v>
      </c>
      <c r="Y125" s="504">
        <v>1</v>
      </c>
      <c r="Z125" s="504">
        <f t="shared" si="46"/>
        <v>1.377566332278839</v>
      </c>
      <c r="AA125" s="504">
        <f t="shared" si="47"/>
        <v>100</v>
      </c>
      <c r="AB125" s="504">
        <v>27.886389999999999</v>
      </c>
      <c r="AC125" s="504">
        <f t="shared" si="43"/>
        <v>99.594249999999988</v>
      </c>
      <c r="AD125" s="504"/>
      <c r="AE125" s="508"/>
      <c r="AF125" s="504"/>
      <c r="AG125" s="504"/>
      <c r="AH125" s="504"/>
      <c r="AI125" s="504"/>
      <c r="AJ125" s="504"/>
      <c r="AK125" s="504"/>
      <c r="AL125" s="504"/>
      <c r="AM125" s="504"/>
      <c r="AN125" s="504"/>
      <c r="AO125" s="504"/>
      <c r="AP125" s="504"/>
      <c r="AQ125" s="504"/>
      <c r="AR125" s="505"/>
      <c r="AS125" s="505"/>
      <c r="AT125" s="507"/>
      <c r="AU125" s="693">
        <f>'[2]3rd Trimester Progress(Pradesh '!AB125</f>
        <v>26.88</v>
      </c>
      <c r="AV125" s="693">
        <f t="shared" si="36"/>
        <v>1.0063899999999997</v>
      </c>
      <c r="AW125" s="305"/>
      <c r="AX125" s="305"/>
      <c r="AY125" s="305"/>
      <c r="AZ125" s="305"/>
      <c r="BA125" s="305"/>
      <c r="BB125" s="305"/>
      <c r="BC125" s="305"/>
      <c r="BD125" s="305"/>
    </row>
    <row r="126" spans="1:56" s="306" customFormat="1" ht="23.25" customHeight="1">
      <c r="A126" s="433" t="s">
        <v>1101</v>
      </c>
      <c r="B126" s="486" t="s">
        <v>962</v>
      </c>
      <c r="C126" s="534" t="s">
        <v>1174</v>
      </c>
      <c r="D126" s="532"/>
      <c r="E126" s="284"/>
      <c r="F126" s="284"/>
      <c r="G126" s="284"/>
      <c r="H126" s="284"/>
      <c r="I126" s="284"/>
      <c r="J126" s="504">
        <v>1</v>
      </c>
      <c r="K126" s="504">
        <f t="shared" si="37"/>
        <v>0.39359038065109686</v>
      </c>
      <c r="L126" s="506">
        <v>8</v>
      </c>
      <c r="M126" s="504">
        <f t="shared" si="42"/>
        <v>8</v>
      </c>
      <c r="N126" s="504">
        <v>1</v>
      </c>
      <c r="O126" s="504">
        <f t="shared" si="38"/>
        <v>9.8397595162774215E-2</v>
      </c>
      <c r="P126" s="504">
        <v>2</v>
      </c>
      <c r="Q126" s="504">
        <v>0.1</v>
      </c>
      <c r="R126" s="504">
        <f t="shared" si="30"/>
        <v>9.8397595162774219E-3</v>
      </c>
      <c r="S126" s="504">
        <f t="shared" si="31"/>
        <v>10</v>
      </c>
      <c r="T126" s="504">
        <v>7.8001399999999999</v>
      </c>
      <c r="U126" s="504">
        <f t="shared" si="39"/>
        <v>390.00700000000001</v>
      </c>
      <c r="V126" s="504">
        <f t="shared" si="40"/>
        <v>1</v>
      </c>
      <c r="W126" s="504">
        <f t="shared" si="27"/>
        <v>0.39359038065109686</v>
      </c>
      <c r="X126" s="504">
        <f t="shared" si="34"/>
        <v>8</v>
      </c>
      <c r="Y126" s="504">
        <v>1</v>
      </c>
      <c r="Z126" s="504">
        <f t="shared" si="46"/>
        <v>0.39359038065109686</v>
      </c>
      <c r="AA126" s="504">
        <f t="shared" si="47"/>
        <v>100</v>
      </c>
      <c r="AB126" s="504">
        <v>7.8001399999999999</v>
      </c>
      <c r="AC126" s="504">
        <f t="shared" si="43"/>
        <v>97.501750000000001</v>
      </c>
      <c r="AD126" s="504"/>
      <c r="AE126" s="508"/>
      <c r="AF126" s="504"/>
      <c r="AG126" s="504"/>
      <c r="AH126" s="504"/>
      <c r="AI126" s="504"/>
      <c r="AJ126" s="504"/>
      <c r="AK126" s="504"/>
      <c r="AL126" s="504"/>
      <c r="AM126" s="504"/>
      <c r="AN126" s="504"/>
      <c r="AO126" s="504"/>
      <c r="AP126" s="504"/>
      <c r="AQ126" s="504"/>
      <c r="AR126" s="505"/>
      <c r="AS126" s="505"/>
      <c r="AT126" s="507"/>
      <c r="AU126" s="693">
        <f>'[2]3rd Trimester Progress(Pradesh '!AB126</f>
        <v>0</v>
      </c>
      <c r="AV126" s="693">
        <f t="shared" si="36"/>
        <v>7.8001399999999999</v>
      </c>
      <c r="AW126" s="305"/>
      <c r="AX126" s="305"/>
      <c r="AY126" s="305"/>
      <c r="AZ126" s="305"/>
      <c r="BA126" s="305"/>
      <c r="BB126" s="305"/>
      <c r="BC126" s="305"/>
      <c r="BD126" s="305"/>
    </row>
    <row r="127" spans="1:56" s="306" customFormat="1" ht="72">
      <c r="A127" s="433" t="s">
        <v>1102</v>
      </c>
      <c r="B127" s="486" t="s">
        <v>1226</v>
      </c>
      <c r="C127" s="534" t="s">
        <v>1174</v>
      </c>
      <c r="D127" s="532"/>
      <c r="E127" s="284"/>
      <c r="F127" s="284"/>
      <c r="G127" s="284"/>
      <c r="H127" s="284"/>
      <c r="I127" s="284"/>
      <c r="J127" s="504">
        <v>1</v>
      </c>
      <c r="K127" s="504">
        <f t="shared" si="37"/>
        <v>0.39359038065109686</v>
      </c>
      <c r="L127" s="506">
        <v>8</v>
      </c>
      <c r="M127" s="504">
        <f t="shared" si="42"/>
        <v>8</v>
      </c>
      <c r="N127" s="504">
        <v>1</v>
      </c>
      <c r="O127" s="504">
        <f t="shared" si="38"/>
        <v>9.8397595162774215E-2</v>
      </c>
      <c r="P127" s="504">
        <v>2</v>
      </c>
      <c r="Q127" s="504">
        <v>0</v>
      </c>
      <c r="R127" s="504">
        <f t="shared" si="30"/>
        <v>0</v>
      </c>
      <c r="S127" s="504">
        <f t="shared" si="31"/>
        <v>0</v>
      </c>
      <c r="T127" s="504">
        <v>0.2500599999999995</v>
      </c>
      <c r="U127" s="504">
        <f t="shared" si="39"/>
        <v>12.502999999999975</v>
      </c>
      <c r="V127" s="504">
        <f t="shared" si="40"/>
        <v>1</v>
      </c>
      <c r="W127" s="504">
        <f t="shared" si="27"/>
        <v>0.39359038065109686</v>
      </c>
      <c r="X127" s="504">
        <f t="shared" si="34"/>
        <v>8</v>
      </c>
      <c r="Y127" s="504">
        <v>1</v>
      </c>
      <c r="Z127" s="504">
        <f t="shared" si="46"/>
        <v>0.39359038065109686</v>
      </c>
      <c r="AA127" s="504">
        <f t="shared" si="47"/>
        <v>100</v>
      </c>
      <c r="AB127" s="504">
        <v>7.8200599999999998</v>
      </c>
      <c r="AC127" s="504">
        <f t="shared" si="43"/>
        <v>97.750749999999996</v>
      </c>
      <c r="AD127" s="504"/>
      <c r="AE127" s="508"/>
      <c r="AF127" s="504"/>
      <c r="AG127" s="504"/>
      <c r="AH127" s="504"/>
      <c r="AI127" s="504"/>
      <c r="AJ127" s="504"/>
      <c r="AK127" s="504"/>
      <c r="AL127" s="504"/>
      <c r="AM127" s="504"/>
      <c r="AN127" s="504"/>
      <c r="AO127" s="504"/>
      <c r="AP127" s="504"/>
      <c r="AQ127" s="504"/>
      <c r="AR127" s="505"/>
      <c r="AS127" s="505"/>
      <c r="AT127" s="507"/>
      <c r="AU127" s="693">
        <f>'[2]3rd Trimester Progress(Pradesh '!AB127</f>
        <v>7.57</v>
      </c>
      <c r="AV127" s="693">
        <f t="shared" si="36"/>
        <v>0.2500599999999995</v>
      </c>
      <c r="AW127" s="305"/>
      <c r="AX127" s="305"/>
      <c r="AY127" s="305"/>
      <c r="AZ127" s="305"/>
      <c r="BA127" s="305"/>
      <c r="BB127" s="305"/>
      <c r="BC127" s="305"/>
      <c r="BD127" s="305"/>
    </row>
    <row r="128" spans="1:56" s="306" customFormat="1" ht="48">
      <c r="A128" s="433" t="s">
        <v>1103</v>
      </c>
      <c r="B128" s="486" t="s">
        <v>963</v>
      </c>
      <c r="C128" s="534" t="s">
        <v>1174</v>
      </c>
      <c r="D128" s="532"/>
      <c r="E128" s="284"/>
      <c r="F128" s="284"/>
      <c r="G128" s="284"/>
      <c r="H128" s="284"/>
      <c r="I128" s="284"/>
      <c r="J128" s="504">
        <v>1</v>
      </c>
      <c r="K128" s="504">
        <f t="shared" si="37"/>
        <v>0.39359038065109686</v>
      </c>
      <c r="L128" s="506">
        <v>8</v>
      </c>
      <c r="M128" s="504">
        <f t="shared" si="42"/>
        <v>8</v>
      </c>
      <c r="N128" s="504">
        <v>1</v>
      </c>
      <c r="O128" s="504">
        <f t="shared" si="38"/>
        <v>9.8397595162774215E-2</v>
      </c>
      <c r="P128" s="504">
        <v>2</v>
      </c>
      <c r="Q128" s="504">
        <v>0.2</v>
      </c>
      <c r="R128" s="504">
        <f t="shared" si="30"/>
        <v>1.9679519032554844E-2</v>
      </c>
      <c r="S128" s="504">
        <f t="shared" si="31"/>
        <v>20</v>
      </c>
      <c r="T128" s="504">
        <v>7.7717299999999998</v>
      </c>
      <c r="U128" s="504">
        <f t="shared" si="39"/>
        <v>388.5865</v>
      </c>
      <c r="V128" s="504">
        <f t="shared" si="40"/>
        <v>1</v>
      </c>
      <c r="W128" s="504">
        <f t="shared" si="27"/>
        <v>0.39359038065109686</v>
      </c>
      <c r="X128" s="504">
        <f t="shared" si="34"/>
        <v>8</v>
      </c>
      <c r="Y128" s="504">
        <v>1</v>
      </c>
      <c r="Z128" s="504">
        <f t="shared" si="46"/>
        <v>0.39359038065109686</v>
      </c>
      <c r="AA128" s="504">
        <f t="shared" si="47"/>
        <v>100</v>
      </c>
      <c r="AB128" s="504">
        <v>7.7717299999999998</v>
      </c>
      <c r="AC128" s="504">
        <f t="shared" si="43"/>
        <v>97.146625</v>
      </c>
      <c r="AD128" s="504"/>
      <c r="AE128" s="508"/>
      <c r="AF128" s="504"/>
      <c r="AG128" s="504"/>
      <c r="AH128" s="504"/>
      <c r="AI128" s="504"/>
      <c r="AJ128" s="504"/>
      <c r="AK128" s="504"/>
      <c r="AL128" s="504"/>
      <c r="AM128" s="504"/>
      <c r="AN128" s="504"/>
      <c r="AO128" s="504"/>
      <c r="AP128" s="504"/>
      <c r="AQ128" s="504"/>
      <c r="AR128" s="505"/>
      <c r="AS128" s="505"/>
      <c r="AT128" s="507"/>
      <c r="AU128" s="693">
        <f>'[2]3rd Trimester Progress(Pradesh '!AB128</f>
        <v>0</v>
      </c>
      <c r="AV128" s="693">
        <f t="shared" si="36"/>
        <v>7.7717299999999998</v>
      </c>
      <c r="AW128" s="305"/>
      <c r="AX128" s="305"/>
      <c r="AY128" s="305"/>
      <c r="AZ128" s="305"/>
      <c r="BA128" s="305"/>
      <c r="BB128" s="305"/>
      <c r="BC128" s="305"/>
      <c r="BD128" s="305"/>
    </row>
    <row r="129" spans="1:56" s="306" customFormat="1" ht="24">
      <c r="A129" s="433" t="s">
        <v>1104</v>
      </c>
      <c r="B129" s="490" t="s">
        <v>964</v>
      </c>
      <c r="C129" s="534" t="s">
        <v>1174</v>
      </c>
      <c r="D129" s="532"/>
      <c r="E129" s="284"/>
      <c r="F129" s="284"/>
      <c r="G129" s="284"/>
      <c r="H129" s="284"/>
      <c r="I129" s="284"/>
      <c r="J129" s="504">
        <v>1</v>
      </c>
      <c r="K129" s="504">
        <f t="shared" si="37"/>
        <v>0.39359038065109686</v>
      </c>
      <c r="L129" s="506">
        <v>8</v>
      </c>
      <c r="M129" s="504">
        <f t="shared" si="42"/>
        <v>8</v>
      </c>
      <c r="N129" s="504">
        <v>1</v>
      </c>
      <c r="O129" s="504">
        <f t="shared" si="38"/>
        <v>9.8397595162774215E-2</v>
      </c>
      <c r="P129" s="504">
        <v>2</v>
      </c>
      <c r="Q129" s="504">
        <v>0</v>
      </c>
      <c r="R129" s="504">
        <f t="shared" si="30"/>
        <v>0</v>
      </c>
      <c r="S129" s="504">
        <f t="shared" si="31"/>
        <v>0</v>
      </c>
      <c r="T129" s="504">
        <v>0.30827000000000027</v>
      </c>
      <c r="U129" s="504">
        <f t="shared" si="39"/>
        <v>15.413500000000013</v>
      </c>
      <c r="V129" s="504">
        <f t="shared" si="40"/>
        <v>1</v>
      </c>
      <c r="W129" s="504">
        <f t="shared" si="27"/>
        <v>0.39359038065109686</v>
      </c>
      <c r="X129" s="504">
        <f t="shared" si="34"/>
        <v>8</v>
      </c>
      <c r="Y129" s="504">
        <v>1</v>
      </c>
      <c r="Z129" s="504">
        <f t="shared" si="46"/>
        <v>0.39359038065109686</v>
      </c>
      <c r="AA129" s="504">
        <f t="shared" si="47"/>
        <v>100</v>
      </c>
      <c r="AB129" s="504">
        <v>7.9782700000000002</v>
      </c>
      <c r="AC129" s="504">
        <f t="shared" si="43"/>
        <v>99.728375</v>
      </c>
      <c r="AD129" s="504"/>
      <c r="AE129" s="508"/>
      <c r="AF129" s="504"/>
      <c r="AG129" s="504"/>
      <c r="AH129" s="504"/>
      <c r="AI129" s="504"/>
      <c r="AJ129" s="504"/>
      <c r="AK129" s="504"/>
      <c r="AL129" s="504"/>
      <c r="AM129" s="504"/>
      <c r="AN129" s="504"/>
      <c r="AO129" s="504"/>
      <c r="AP129" s="504"/>
      <c r="AQ129" s="504"/>
      <c r="AR129" s="505"/>
      <c r="AS129" s="505"/>
      <c r="AT129" s="507"/>
      <c r="AU129" s="693">
        <f>'[2]3rd Trimester Progress(Pradesh '!AB129</f>
        <v>7.67</v>
      </c>
      <c r="AV129" s="693">
        <f t="shared" si="36"/>
        <v>0.30827000000000027</v>
      </c>
      <c r="AW129" s="305"/>
      <c r="AX129" s="305"/>
      <c r="AY129" s="305"/>
      <c r="AZ129" s="305"/>
      <c r="BA129" s="305"/>
      <c r="BB129" s="305"/>
      <c r="BC129" s="305"/>
      <c r="BD129" s="305"/>
    </row>
    <row r="130" spans="1:56" s="306" customFormat="1" ht="23.25" customHeight="1">
      <c r="A130" s="433" t="s">
        <v>1105</v>
      </c>
      <c r="B130" s="490" t="s">
        <v>965</v>
      </c>
      <c r="C130" s="534" t="s">
        <v>1174</v>
      </c>
      <c r="D130" s="532"/>
      <c r="E130" s="284"/>
      <c r="F130" s="284"/>
      <c r="G130" s="284"/>
      <c r="H130" s="284"/>
      <c r="I130" s="284"/>
      <c r="J130" s="504">
        <v>1</v>
      </c>
      <c r="K130" s="504">
        <f t="shared" si="37"/>
        <v>2.2139458911624197</v>
      </c>
      <c r="L130" s="506">
        <v>45</v>
      </c>
      <c r="M130" s="504">
        <f t="shared" si="42"/>
        <v>45</v>
      </c>
      <c r="N130" s="504">
        <v>1</v>
      </c>
      <c r="O130" s="504">
        <f t="shared" si="38"/>
        <v>0.55348647279060492</v>
      </c>
      <c r="P130" s="504">
        <v>11.25</v>
      </c>
      <c r="Q130" s="504">
        <v>0</v>
      </c>
      <c r="R130" s="504">
        <f t="shared" si="30"/>
        <v>0</v>
      </c>
      <c r="S130" s="504">
        <f t="shared" si="31"/>
        <v>0</v>
      </c>
      <c r="T130" s="504">
        <v>0</v>
      </c>
      <c r="U130" s="504">
        <f t="shared" si="39"/>
        <v>0</v>
      </c>
      <c r="V130" s="504">
        <f t="shared" si="40"/>
        <v>1</v>
      </c>
      <c r="W130" s="504">
        <f t="shared" si="27"/>
        <v>2.2139458911624197</v>
      </c>
      <c r="X130" s="504">
        <f t="shared" si="34"/>
        <v>45</v>
      </c>
      <c r="Y130" s="504">
        <v>1</v>
      </c>
      <c r="Z130" s="504">
        <f t="shared" si="46"/>
        <v>2.2139458911624197</v>
      </c>
      <c r="AA130" s="504">
        <f t="shared" si="47"/>
        <v>100</v>
      </c>
      <c r="AB130" s="504">
        <v>44.53</v>
      </c>
      <c r="AC130" s="504">
        <f t="shared" si="43"/>
        <v>98.955555555555563</v>
      </c>
      <c r="AD130" s="504"/>
      <c r="AE130" s="508"/>
      <c r="AF130" s="504"/>
      <c r="AG130" s="504"/>
      <c r="AH130" s="504"/>
      <c r="AI130" s="504"/>
      <c r="AJ130" s="504"/>
      <c r="AK130" s="504"/>
      <c r="AL130" s="504"/>
      <c r="AM130" s="504"/>
      <c r="AN130" s="504"/>
      <c r="AO130" s="504"/>
      <c r="AP130" s="504"/>
      <c r="AQ130" s="504"/>
      <c r="AR130" s="505"/>
      <c r="AS130" s="505"/>
      <c r="AT130" s="507"/>
      <c r="AU130" s="693">
        <f>'[2]3rd Trimester Progress(Pradesh '!AB130</f>
        <v>44.53</v>
      </c>
      <c r="AV130" s="693">
        <f t="shared" si="36"/>
        <v>0</v>
      </c>
      <c r="AW130" s="305"/>
      <c r="AX130" s="305"/>
      <c r="AY130" s="305"/>
      <c r="AZ130" s="305"/>
      <c r="BA130" s="305"/>
      <c r="BB130" s="305"/>
      <c r="BC130" s="305"/>
      <c r="BD130" s="305"/>
    </row>
    <row r="131" spans="1:56" s="306" customFormat="1" ht="24">
      <c r="A131" s="433" t="s">
        <v>1106</v>
      </c>
      <c r="B131" s="490" t="s">
        <v>966</v>
      </c>
      <c r="C131" s="534" t="s">
        <v>1174</v>
      </c>
      <c r="D131" s="532"/>
      <c r="E131" s="284"/>
      <c r="F131" s="284"/>
      <c r="G131" s="284"/>
      <c r="H131" s="284"/>
      <c r="I131" s="284"/>
      <c r="J131" s="504">
        <v>1</v>
      </c>
      <c r="K131" s="504">
        <f t="shared" si="37"/>
        <v>0.4919879758138711</v>
      </c>
      <c r="L131" s="506">
        <v>10</v>
      </c>
      <c r="M131" s="504">
        <f t="shared" si="42"/>
        <v>10</v>
      </c>
      <c r="N131" s="504">
        <v>1</v>
      </c>
      <c r="O131" s="504">
        <f t="shared" si="38"/>
        <v>0.12299699395346778</v>
      </c>
      <c r="P131" s="504">
        <v>2.5</v>
      </c>
      <c r="Q131" s="504">
        <v>0.2</v>
      </c>
      <c r="R131" s="504">
        <f t="shared" si="30"/>
        <v>2.4599398790693557E-2</v>
      </c>
      <c r="S131" s="504">
        <f t="shared" si="31"/>
        <v>20</v>
      </c>
      <c r="T131" s="504">
        <v>4.6322999999999999</v>
      </c>
      <c r="U131" s="504">
        <f t="shared" si="39"/>
        <v>185.292</v>
      </c>
      <c r="V131" s="504">
        <f t="shared" si="40"/>
        <v>1</v>
      </c>
      <c r="W131" s="504">
        <f t="shared" si="27"/>
        <v>0.4919879758138711</v>
      </c>
      <c r="X131" s="504">
        <f t="shared" si="34"/>
        <v>10</v>
      </c>
      <c r="Y131" s="504">
        <v>1</v>
      </c>
      <c r="Z131" s="504">
        <f t="shared" si="46"/>
        <v>0.4919879758138711</v>
      </c>
      <c r="AA131" s="504">
        <f t="shared" si="47"/>
        <v>100</v>
      </c>
      <c r="AB131" s="504">
        <v>9.9923000000000002</v>
      </c>
      <c r="AC131" s="504">
        <f t="shared" si="43"/>
        <v>99.923000000000002</v>
      </c>
      <c r="AD131" s="504"/>
      <c r="AE131" s="508"/>
      <c r="AF131" s="504"/>
      <c r="AG131" s="504"/>
      <c r="AH131" s="504"/>
      <c r="AI131" s="504"/>
      <c r="AJ131" s="504"/>
      <c r="AK131" s="504"/>
      <c r="AL131" s="504"/>
      <c r="AM131" s="504"/>
      <c r="AN131" s="504"/>
      <c r="AO131" s="504"/>
      <c r="AP131" s="504"/>
      <c r="AQ131" s="504"/>
      <c r="AR131" s="505"/>
      <c r="AS131" s="505"/>
      <c r="AT131" s="507"/>
      <c r="AU131" s="693">
        <f>'[2]3rd Trimester Progress(Pradesh '!AB131</f>
        <v>5.36</v>
      </c>
      <c r="AV131" s="693">
        <f t="shared" si="36"/>
        <v>4.6322999999999999</v>
      </c>
      <c r="AW131" s="305"/>
      <c r="AX131" s="305"/>
      <c r="AY131" s="305"/>
      <c r="AZ131" s="305"/>
      <c r="BA131" s="305"/>
      <c r="BB131" s="305"/>
      <c r="BC131" s="305"/>
      <c r="BD131" s="305"/>
    </row>
    <row r="132" spans="1:56" s="306" customFormat="1" ht="48">
      <c r="A132" s="433" t="s">
        <v>1107</v>
      </c>
      <c r="B132" s="490" t="s">
        <v>967</v>
      </c>
      <c r="C132" s="534" t="s">
        <v>1174</v>
      </c>
      <c r="D132" s="532"/>
      <c r="E132" s="284"/>
      <c r="F132" s="284"/>
      <c r="G132" s="284"/>
      <c r="H132" s="284"/>
      <c r="I132" s="284"/>
      <c r="J132" s="504">
        <v>1</v>
      </c>
      <c r="K132" s="504">
        <f t="shared" si="37"/>
        <v>0.4919879758138711</v>
      </c>
      <c r="L132" s="506">
        <v>10</v>
      </c>
      <c r="M132" s="504">
        <f t="shared" si="42"/>
        <v>10</v>
      </c>
      <c r="N132" s="504">
        <v>1</v>
      </c>
      <c r="O132" s="504">
        <f t="shared" si="38"/>
        <v>0.12299699395346778</v>
      </c>
      <c r="P132" s="504">
        <v>2.5</v>
      </c>
      <c r="Q132" s="504">
        <v>0</v>
      </c>
      <c r="R132" s="504">
        <f t="shared" si="30"/>
        <v>0</v>
      </c>
      <c r="S132" s="504">
        <f t="shared" si="31"/>
        <v>0</v>
      </c>
      <c r="T132" s="504">
        <v>0.39733000000000018</v>
      </c>
      <c r="U132" s="504">
        <f t="shared" si="39"/>
        <v>15.893200000000007</v>
      </c>
      <c r="V132" s="504">
        <f t="shared" si="40"/>
        <v>1</v>
      </c>
      <c r="W132" s="504">
        <f t="shared" si="27"/>
        <v>0.4919879758138711</v>
      </c>
      <c r="X132" s="504">
        <f t="shared" si="34"/>
        <v>10</v>
      </c>
      <c r="Y132" s="504">
        <v>1</v>
      </c>
      <c r="Z132" s="504">
        <f t="shared" si="46"/>
        <v>0.4919879758138711</v>
      </c>
      <c r="AA132" s="504">
        <f t="shared" si="47"/>
        <v>100</v>
      </c>
      <c r="AB132" s="504">
        <v>9.9773300000000003</v>
      </c>
      <c r="AC132" s="504">
        <f t="shared" si="43"/>
        <v>99.773299999999992</v>
      </c>
      <c r="AD132" s="504"/>
      <c r="AE132" s="508"/>
      <c r="AF132" s="504"/>
      <c r="AG132" s="504"/>
      <c r="AH132" s="504"/>
      <c r="AI132" s="504"/>
      <c r="AJ132" s="504"/>
      <c r="AK132" s="504"/>
      <c r="AL132" s="504"/>
      <c r="AM132" s="504"/>
      <c r="AN132" s="504"/>
      <c r="AO132" s="504"/>
      <c r="AP132" s="504"/>
      <c r="AQ132" s="504"/>
      <c r="AR132" s="505"/>
      <c r="AS132" s="505"/>
      <c r="AT132" s="507"/>
      <c r="AU132" s="693">
        <f>'[2]3rd Trimester Progress(Pradesh '!AB132</f>
        <v>9.58</v>
      </c>
      <c r="AV132" s="693">
        <f t="shared" si="36"/>
        <v>0.39733000000000018</v>
      </c>
      <c r="AW132" s="305"/>
      <c r="AX132" s="305"/>
      <c r="AY132" s="305"/>
      <c r="AZ132" s="305"/>
      <c r="BA132" s="305"/>
      <c r="BB132" s="305"/>
      <c r="BC132" s="305"/>
      <c r="BD132" s="305"/>
    </row>
    <row r="133" spans="1:56" s="306" customFormat="1" ht="24">
      <c r="A133" s="433" t="s">
        <v>1108</v>
      </c>
      <c r="B133" s="490" t="s">
        <v>1229</v>
      </c>
      <c r="C133" s="534" t="s">
        <v>1174</v>
      </c>
      <c r="D133" s="532"/>
      <c r="E133" s="284"/>
      <c r="F133" s="284"/>
      <c r="G133" s="284"/>
      <c r="H133" s="284"/>
      <c r="I133" s="284"/>
      <c r="J133" s="504">
        <v>1</v>
      </c>
      <c r="K133" s="504">
        <f t="shared" si="37"/>
        <v>0.35669128246505649</v>
      </c>
      <c r="L133" s="506">
        <v>7.25</v>
      </c>
      <c r="M133" s="504">
        <f t="shared" si="42"/>
        <v>7.25</v>
      </c>
      <c r="N133" s="504">
        <v>1</v>
      </c>
      <c r="O133" s="504">
        <f t="shared" si="38"/>
        <v>8.9541811598124535E-2</v>
      </c>
      <c r="P133" s="504">
        <v>1.82</v>
      </c>
      <c r="Q133" s="504">
        <v>0</v>
      </c>
      <c r="R133" s="504">
        <f t="shared" si="30"/>
        <v>0</v>
      </c>
      <c r="S133" s="504">
        <f t="shared" si="31"/>
        <v>0</v>
      </c>
      <c r="T133" s="504">
        <v>0.24319000000000024</v>
      </c>
      <c r="U133" s="504">
        <f t="shared" si="39"/>
        <v>13.362087912087924</v>
      </c>
      <c r="V133" s="504">
        <f t="shared" si="40"/>
        <v>1</v>
      </c>
      <c r="W133" s="504">
        <f t="shared" si="27"/>
        <v>0.35669128246505649</v>
      </c>
      <c r="X133" s="504">
        <f t="shared" si="34"/>
        <v>7.25</v>
      </c>
      <c r="Y133" s="504">
        <v>1</v>
      </c>
      <c r="Z133" s="504">
        <f t="shared" si="46"/>
        <v>0.35669128246505649</v>
      </c>
      <c r="AA133" s="504">
        <f t="shared" si="47"/>
        <v>100</v>
      </c>
      <c r="AB133" s="504">
        <v>6.3431899999999999</v>
      </c>
      <c r="AC133" s="504">
        <f t="shared" si="43"/>
        <v>87.492275862068965</v>
      </c>
      <c r="AD133" s="504"/>
      <c r="AE133" s="508"/>
      <c r="AF133" s="504"/>
      <c r="AG133" s="504"/>
      <c r="AH133" s="504"/>
      <c r="AI133" s="504"/>
      <c r="AJ133" s="504"/>
      <c r="AK133" s="504"/>
      <c r="AL133" s="504"/>
      <c r="AM133" s="504"/>
      <c r="AN133" s="504"/>
      <c r="AO133" s="504"/>
      <c r="AP133" s="504"/>
      <c r="AQ133" s="504"/>
      <c r="AR133" s="505"/>
      <c r="AS133" s="505"/>
      <c r="AT133" s="507"/>
      <c r="AU133" s="693">
        <f>'[2]3rd Trimester Progress(Pradesh '!AB133</f>
        <v>6.1</v>
      </c>
      <c r="AV133" s="693">
        <f t="shared" si="36"/>
        <v>0.24319000000000024</v>
      </c>
      <c r="AW133" s="305"/>
      <c r="AX133" s="305"/>
      <c r="AY133" s="305"/>
      <c r="AZ133" s="305"/>
      <c r="BA133" s="305"/>
      <c r="BB133" s="305"/>
      <c r="BC133" s="305"/>
      <c r="BD133" s="305"/>
    </row>
    <row r="134" spans="1:56" s="306" customFormat="1" ht="48">
      <c r="A134" s="433">
        <v>3</v>
      </c>
      <c r="B134" s="495" t="s">
        <v>968</v>
      </c>
      <c r="C134" s="534"/>
      <c r="D134" s="532"/>
      <c r="E134" s="284"/>
      <c r="F134" s="284"/>
      <c r="G134" s="284"/>
      <c r="H134" s="284"/>
      <c r="I134" s="284"/>
      <c r="J134" s="504"/>
      <c r="K134" s="504"/>
      <c r="L134" s="506"/>
      <c r="M134" s="504"/>
      <c r="N134" s="504"/>
      <c r="O134" s="504"/>
      <c r="P134" s="504"/>
      <c r="Q134" s="504"/>
      <c r="R134" s="504"/>
      <c r="S134" s="504"/>
      <c r="T134" s="504"/>
      <c r="U134" s="504"/>
      <c r="V134" s="504"/>
      <c r="W134" s="504"/>
      <c r="X134" s="504"/>
      <c r="Y134" s="504"/>
      <c r="Z134" s="504"/>
      <c r="AA134" s="504"/>
      <c r="AB134" s="504"/>
      <c r="AC134" s="504"/>
      <c r="AD134" s="504"/>
      <c r="AE134" s="508"/>
      <c r="AF134" s="504"/>
      <c r="AG134" s="504"/>
      <c r="AH134" s="504"/>
      <c r="AI134" s="504"/>
      <c r="AJ134" s="504"/>
      <c r="AK134" s="504"/>
      <c r="AL134" s="504"/>
      <c r="AM134" s="504"/>
      <c r="AN134" s="504"/>
      <c r="AO134" s="504"/>
      <c r="AP134" s="504"/>
      <c r="AQ134" s="504"/>
      <c r="AR134" s="505"/>
      <c r="AS134" s="505"/>
      <c r="AT134" s="507"/>
      <c r="AU134" s="693">
        <f>'[2]3rd Trimester Progress(Pradesh '!AB134</f>
        <v>0</v>
      </c>
      <c r="AV134" s="693">
        <f t="shared" si="36"/>
        <v>0</v>
      </c>
      <c r="AW134" s="305"/>
      <c r="AX134" s="305"/>
      <c r="AY134" s="305"/>
      <c r="AZ134" s="305"/>
      <c r="BA134" s="305"/>
      <c r="BB134" s="305"/>
      <c r="BC134" s="305"/>
      <c r="BD134" s="305"/>
    </row>
    <row r="135" spans="1:56" s="306" customFormat="1" ht="22.5" customHeight="1">
      <c r="A135" s="433" t="s">
        <v>1110</v>
      </c>
      <c r="B135" s="490" t="s">
        <v>969</v>
      </c>
      <c r="C135" s="534" t="s">
        <v>1174</v>
      </c>
      <c r="D135" s="532"/>
      <c r="E135" s="284"/>
      <c r="F135" s="284"/>
      <c r="G135" s="284"/>
      <c r="H135" s="284"/>
      <c r="I135" s="284"/>
      <c r="J135" s="504">
        <v>1</v>
      </c>
      <c r="K135" s="504">
        <f>(L135/$L$198)*100</f>
        <v>0.39359038065109686</v>
      </c>
      <c r="L135" s="506">
        <v>8</v>
      </c>
      <c r="M135" s="504">
        <f t="shared" ref="M135:M154" si="50">L135</f>
        <v>8</v>
      </c>
      <c r="N135" s="504">
        <v>1</v>
      </c>
      <c r="O135" s="504">
        <f>P135/$L$198*100</f>
        <v>9.8397595162774215E-2</v>
      </c>
      <c r="P135" s="504">
        <v>2</v>
      </c>
      <c r="Q135" s="504">
        <v>1</v>
      </c>
      <c r="R135" s="504">
        <f t="shared" si="30"/>
        <v>9.8397595162774215E-2</v>
      </c>
      <c r="S135" s="504">
        <f t="shared" si="31"/>
        <v>100</v>
      </c>
      <c r="T135" s="504">
        <v>7.8235299999999999</v>
      </c>
      <c r="U135" s="504">
        <f t="shared" ref="U135" si="51">IFERROR(T135/P135*100,0)</f>
        <v>391.17649999999998</v>
      </c>
      <c r="V135" s="504">
        <f t="shared" si="40"/>
        <v>1</v>
      </c>
      <c r="W135" s="504">
        <f t="shared" si="27"/>
        <v>0.39359038065109686</v>
      </c>
      <c r="X135" s="504">
        <f t="shared" si="34"/>
        <v>8</v>
      </c>
      <c r="Y135" s="504">
        <v>1</v>
      </c>
      <c r="Z135" s="504">
        <f t="shared" si="46"/>
        <v>0.39359038065109686</v>
      </c>
      <c r="AA135" s="504">
        <f t="shared" si="47"/>
        <v>100</v>
      </c>
      <c r="AB135" s="504">
        <v>7.8235299999999999</v>
      </c>
      <c r="AC135" s="504">
        <f t="shared" ref="AC135:AC158" si="52">IFERROR(AB135/X135*100,0)</f>
        <v>97.794124999999994</v>
      </c>
      <c r="AD135" s="504"/>
      <c r="AE135" s="508"/>
      <c r="AF135" s="504"/>
      <c r="AG135" s="504"/>
      <c r="AH135" s="504"/>
      <c r="AI135" s="504"/>
      <c r="AJ135" s="504"/>
      <c r="AK135" s="504"/>
      <c r="AL135" s="504"/>
      <c r="AM135" s="504"/>
      <c r="AN135" s="504"/>
      <c r="AO135" s="504"/>
      <c r="AP135" s="504"/>
      <c r="AQ135" s="504"/>
      <c r="AR135" s="505"/>
      <c r="AS135" s="505"/>
      <c r="AT135" s="507"/>
      <c r="AU135" s="693">
        <f>'[2]3rd Trimester Progress(Pradesh '!AB135</f>
        <v>0</v>
      </c>
      <c r="AV135" s="693">
        <f t="shared" si="36"/>
        <v>7.8235299999999999</v>
      </c>
      <c r="AW135" s="305"/>
      <c r="AX135" s="305"/>
      <c r="AY135" s="305"/>
      <c r="AZ135" s="305"/>
      <c r="BA135" s="305"/>
      <c r="BB135" s="305"/>
      <c r="BC135" s="305"/>
      <c r="BD135" s="305"/>
    </row>
    <row r="136" spans="1:56" s="306" customFormat="1" ht="28.5">
      <c r="A136" s="527">
        <v>1</v>
      </c>
      <c r="B136" s="694" t="s">
        <v>970</v>
      </c>
      <c r="C136" s="534"/>
      <c r="D136" s="532"/>
      <c r="E136" s="284"/>
      <c r="F136" s="284"/>
      <c r="G136" s="284"/>
      <c r="H136" s="284"/>
      <c r="I136" s="284"/>
      <c r="J136" s="504"/>
      <c r="K136" s="504"/>
      <c r="L136" s="506"/>
      <c r="M136" s="504"/>
      <c r="N136" s="504"/>
      <c r="O136" s="504"/>
      <c r="P136" s="504"/>
      <c r="Q136" s="504"/>
      <c r="R136" s="504"/>
      <c r="S136" s="504"/>
      <c r="T136" s="504"/>
      <c r="U136" s="504"/>
      <c r="V136" s="504"/>
      <c r="W136" s="504"/>
      <c r="X136" s="504"/>
      <c r="Y136" s="504"/>
      <c r="Z136" s="504"/>
      <c r="AA136" s="504"/>
      <c r="AB136" s="504"/>
      <c r="AC136" s="504"/>
      <c r="AD136" s="504"/>
      <c r="AE136" s="508"/>
      <c r="AF136" s="504"/>
      <c r="AG136" s="504"/>
      <c r="AH136" s="504"/>
      <c r="AI136" s="504"/>
      <c r="AJ136" s="504"/>
      <c r="AK136" s="504"/>
      <c r="AL136" s="504"/>
      <c r="AM136" s="504"/>
      <c r="AN136" s="504"/>
      <c r="AO136" s="504"/>
      <c r="AP136" s="504"/>
      <c r="AQ136" s="504"/>
      <c r="AR136" s="505"/>
      <c r="AS136" s="505"/>
      <c r="AT136" s="507"/>
      <c r="AU136" s="693">
        <f>'[2]3rd Trimester Progress(Pradesh '!AB136</f>
        <v>0</v>
      </c>
      <c r="AV136" s="693">
        <f t="shared" si="36"/>
        <v>0</v>
      </c>
      <c r="AW136" s="305"/>
      <c r="AX136" s="305"/>
      <c r="AY136" s="305"/>
      <c r="AZ136" s="305"/>
      <c r="BA136" s="305"/>
      <c r="BB136" s="305"/>
      <c r="BC136" s="305"/>
      <c r="BD136" s="305"/>
    </row>
    <row r="137" spans="1:56" s="306" customFormat="1" ht="48">
      <c r="A137" s="433" t="s">
        <v>1112</v>
      </c>
      <c r="B137" s="490" t="s">
        <v>1301</v>
      </c>
      <c r="C137" s="534" t="s">
        <v>1174</v>
      </c>
      <c r="D137" s="532"/>
      <c r="E137" s="284"/>
      <c r="F137" s="284"/>
      <c r="G137" s="284"/>
      <c r="H137" s="284"/>
      <c r="I137" s="284"/>
      <c r="J137" s="504">
        <v>1</v>
      </c>
      <c r="K137" s="504">
        <f t="shared" ref="K137:K147" si="53">(L137/$L$198)*100</f>
        <v>1.2299699395346777</v>
      </c>
      <c r="L137" s="506">
        <v>25</v>
      </c>
      <c r="M137" s="504">
        <f t="shared" si="50"/>
        <v>25</v>
      </c>
      <c r="N137" s="504">
        <v>1</v>
      </c>
      <c r="O137" s="504">
        <f t="shared" ref="O137:O147" si="54">P137/$L$198*100</f>
        <v>0.30749248488366943</v>
      </c>
      <c r="P137" s="504">
        <v>6.25</v>
      </c>
      <c r="Q137" s="504">
        <v>0.4</v>
      </c>
      <c r="R137" s="504">
        <f t="shared" si="30"/>
        <v>0.12299699395346778</v>
      </c>
      <c r="S137" s="504">
        <f t="shared" si="31"/>
        <v>40</v>
      </c>
      <c r="T137" s="504">
        <v>14.799789999999998</v>
      </c>
      <c r="U137" s="504">
        <f t="shared" ref="U137:U147" si="55">IFERROR(T137/P137*100,0)</f>
        <v>236.79663999999997</v>
      </c>
      <c r="V137" s="504">
        <f t="shared" si="40"/>
        <v>1</v>
      </c>
      <c r="W137" s="504">
        <f t="shared" si="27"/>
        <v>1.2299699395346777</v>
      </c>
      <c r="X137" s="504">
        <f t="shared" si="34"/>
        <v>25</v>
      </c>
      <c r="Y137" s="504">
        <v>1</v>
      </c>
      <c r="Z137" s="504">
        <f t="shared" si="46"/>
        <v>1.2299699395346777</v>
      </c>
      <c r="AA137" s="504">
        <f t="shared" si="47"/>
        <v>100</v>
      </c>
      <c r="AB137" s="504">
        <v>24.369789999999998</v>
      </c>
      <c r="AC137" s="504">
        <f t="shared" si="52"/>
        <v>97.479159999999993</v>
      </c>
      <c r="AD137" s="504"/>
      <c r="AE137" s="508"/>
      <c r="AF137" s="504"/>
      <c r="AG137" s="504"/>
      <c r="AH137" s="504"/>
      <c r="AI137" s="504"/>
      <c r="AJ137" s="504"/>
      <c r="AK137" s="504"/>
      <c r="AL137" s="504"/>
      <c r="AM137" s="504"/>
      <c r="AN137" s="504"/>
      <c r="AO137" s="504"/>
      <c r="AP137" s="504"/>
      <c r="AQ137" s="504"/>
      <c r="AR137" s="505"/>
      <c r="AS137" s="505"/>
      <c r="AT137" s="507"/>
      <c r="AU137" s="693">
        <f>'[2]3rd Trimester Progress(Pradesh '!AB137</f>
        <v>9.57</v>
      </c>
      <c r="AV137" s="693">
        <f t="shared" si="36"/>
        <v>14.799789999999998</v>
      </c>
      <c r="AW137" s="305"/>
      <c r="AX137" s="305"/>
      <c r="AY137" s="305"/>
      <c r="AZ137" s="305"/>
      <c r="BA137" s="305"/>
      <c r="BB137" s="305"/>
      <c r="BC137" s="305"/>
      <c r="BD137" s="305"/>
    </row>
    <row r="138" spans="1:56" s="306" customFormat="1" ht="24">
      <c r="A138" s="433" t="s">
        <v>1113</v>
      </c>
      <c r="B138" s="490" t="s">
        <v>971</v>
      </c>
      <c r="C138" s="534" t="s">
        <v>1174</v>
      </c>
      <c r="D138" s="532"/>
      <c r="E138" s="284"/>
      <c r="F138" s="284"/>
      <c r="G138" s="284"/>
      <c r="H138" s="284"/>
      <c r="I138" s="284"/>
      <c r="J138" s="504">
        <v>1</v>
      </c>
      <c r="K138" s="504">
        <f t="shared" si="53"/>
        <v>3.4931146282784846</v>
      </c>
      <c r="L138" s="506">
        <v>71</v>
      </c>
      <c r="M138" s="504">
        <f t="shared" si="50"/>
        <v>71</v>
      </c>
      <c r="N138" s="504">
        <v>1</v>
      </c>
      <c r="O138" s="504">
        <f t="shared" si="54"/>
        <v>1.9556522038601376</v>
      </c>
      <c r="P138" s="504">
        <v>39.75</v>
      </c>
      <c r="Q138" s="504">
        <v>0.1</v>
      </c>
      <c r="R138" s="504">
        <f t="shared" si="30"/>
        <v>0.19556522038601376</v>
      </c>
      <c r="S138" s="504">
        <f t="shared" si="31"/>
        <v>10</v>
      </c>
      <c r="T138" s="504">
        <v>64.830719999999999</v>
      </c>
      <c r="U138" s="504">
        <f t="shared" si="55"/>
        <v>163.09615094339622</v>
      </c>
      <c r="V138" s="504">
        <f t="shared" si="40"/>
        <v>1</v>
      </c>
      <c r="W138" s="504">
        <f t="shared" si="27"/>
        <v>3.4931146282784846</v>
      </c>
      <c r="X138" s="504">
        <f t="shared" si="34"/>
        <v>71</v>
      </c>
      <c r="Y138" s="504">
        <v>1</v>
      </c>
      <c r="Z138" s="504">
        <f t="shared" si="46"/>
        <v>3.4931146282784846</v>
      </c>
      <c r="AA138" s="504">
        <f t="shared" si="47"/>
        <v>100</v>
      </c>
      <c r="AB138" s="504">
        <v>70.830719999999999</v>
      </c>
      <c r="AC138" s="504">
        <f t="shared" si="52"/>
        <v>99.761577464788729</v>
      </c>
      <c r="AD138" s="504"/>
      <c r="AE138" s="508"/>
      <c r="AF138" s="504"/>
      <c r="AG138" s="504"/>
      <c r="AH138" s="504"/>
      <c r="AI138" s="504"/>
      <c r="AJ138" s="504"/>
      <c r="AK138" s="504"/>
      <c r="AL138" s="504"/>
      <c r="AM138" s="504"/>
      <c r="AN138" s="504"/>
      <c r="AO138" s="504"/>
      <c r="AP138" s="504"/>
      <c r="AQ138" s="504"/>
      <c r="AR138" s="505"/>
      <c r="AS138" s="505"/>
      <c r="AT138" s="507"/>
      <c r="AU138" s="693">
        <f>'[2]3rd Trimester Progress(Pradesh '!AB138</f>
        <v>6</v>
      </c>
      <c r="AV138" s="693">
        <f t="shared" si="36"/>
        <v>64.830719999999999</v>
      </c>
      <c r="AW138" s="305"/>
      <c r="AX138" s="305"/>
      <c r="AY138" s="305"/>
      <c r="AZ138" s="305"/>
      <c r="BA138" s="305"/>
      <c r="BB138" s="305"/>
      <c r="BC138" s="305"/>
      <c r="BD138" s="305"/>
    </row>
    <row r="139" spans="1:56" s="306" customFormat="1" ht="24">
      <c r="A139" s="433" t="s">
        <v>1114</v>
      </c>
      <c r="B139" s="490" t="s">
        <v>972</v>
      </c>
      <c r="C139" s="534" t="s">
        <v>1174</v>
      </c>
      <c r="D139" s="532"/>
      <c r="E139" s="284"/>
      <c r="F139" s="284"/>
      <c r="G139" s="284"/>
      <c r="H139" s="284"/>
      <c r="I139" s="284"/>
      <c r="J139" s="504">
        <v>1</v>
      </c>
      <c r="K139" s="504">
        <f t="shared" si="53"/>
        <v>5.9284551085571469</v>
      </c>
      <c r="L139" s="506">
        <v>120.5</v>
      </c>
      <c r="M139" s="504">
        <f t="shared" si="50"/>
        <v>120.5</v>
      </c>
      <c r="N139" s="504">
        <v>1</v>
      </c>
      <c r="O139" s="504">
        <f t="shared" si="54"/>
        <v>3.9044165760588805</v>
      </c>
      <c r="P139" s="504">
        <v>79.36</v>
      </c>
      <c r="Q139" s="504">
        <v>1</v>
      </c>
      <c r="R139" s="504">
        <f t="shared" si="30"/>
        <v>3.9044165760588805</v>
      </c>
      <c r="S139" s="504">
        <f t="shared" si="31"/>
        <v>100</v>
      </c>
      <c r="T139" s="504">
        <v>48.397940000000006</v>
      </c>
      <c r="U139" s="504">
        <f t="shared" si="55"/>
        <v>60.985307459677429</v>
      </c>
      <c r="V139" s="504">
        <f t="shared" si="40"/>
        <v>1</v>
      </c>
      <c r="W139" s="504">
        <f t="shared" si="27"/>
        <v>5.9284551085571469</v>
      </c>
      <c r="X139" s="504">
        <f t="shared" si="34"/>
        <v>120.5</v>
      </c>
      <c r="Y139" s="504">
        <v>1</v>
      </c>
      <c r="Z139" s="504">
        <f t="shared" si="46"/>
        <v>5.9284551085571469</v>
      </c>
      <c r="AA139" s="504">
        <f t="shared" si="47"/>
        <v>100</v>
      </c>
      <c r="AB139" s="504">
        <v>115.88794</v>
      </c>
      <c r="AC139" s="504">
        <f t="shared" si="52"/>
        <v>96.172564315352687</v>
      </c>
      <c r="AD139" s="504"/>
      <c r="AE139" s="508"/>
      <c r="AF139" s="504"/>
      <c r="AG139" s="504"/>
      <c r="AH139" s="504"/>
      <c r="AI139" s="504"/>
      <c r="AJ139" s="504"/>
      <c r="AK139" s="504"/>
      <c r="AL139" s="504"/>
      <c r="AM139" s="504"/>
      <c r="AN139" s="504"/>
      <c r="AO139" s="504"/>
      <c r="AP139" s="504"/>
      <c r="AQ139" s="504"/>
      <c r="AR139" s="505"/>
      <c r="AS139" s="505"/>
      <c r="AT139" s="507"/>
      <c r="AU139" s="693">
        <f>'[2]3rd Trimester Progress(Pradesh '!AB139</f>
        <v>67.489999999999995</v>
      </c>
      <c r="AV139" s="693">
        <f t="shared" si="36"/>
        <v>48.397940000000006</v>
      </c>
      <c r="AW139" s="305"/>
      <c r="AX139" s="305"/>
      <c r="AY139" s="305"/>
      <c r="AZ139" s="305"/>
      <c r="BA139" s="305"/>
      <c r="BB139" s="305"/>
      <c r="BC139" s="305"/>
      <c r="BD139" s="305"/>
    </row>
    <row r="140" spans="1:56" s="306" customFormat="1" ht="24">
      <c r="A140" s="433" t="s">
        <v>1116</v>
      </c>
      <c r="B140" s="490" t="s">
        <v>973</v>
      </c>
      <c r="C140" s="534" t="s">
        <v>1174</v>
      </c>
      <c r="D140" s="532"/>
      <c r="E140" s="284"/>
      <c r="F140" s="284"/>
      <c r="G140" s="284"/>
      <c r="H140" s="284"/>
      <c r="I140" s="284"/>
      <c r="J140" s="504">
        <v>1</v>
      </c>
      <c r="K140" s="504">
        <f t="shared" si="53"/>
        <v>5.8546569121850656</v>
      </c>
      <c r="L140" s="506">
        <v>119</v>
      </c>
      <c r="M140" s="504">
        <f t="shared" si="50"/>
        <v>119</v>
      </c>
      <c r="N140" s="504">
        <v>1</v>
      </c>
      <c r="O140" s="504">
        <f t="shared" si="54"/>
        <v>5.5471644273013965</v>
      </c>
      <c r="P140" s="504">
        <v>112.75</v>
      </c>
      <c r="Q140" s="504">
        <v>1</v>
      </c>
      <c r="R140" s="504">
        <f t="shared" si="30"/>
        <v>5.5471644273013965</v>
      </c>
      <c r="S140" s="504">
        <f t="shared" si="31"/>
        <v>100</v>
      </c>
      <c r="T140" s="504">
        <v>88.92</v>
      </c>
      <c r="U140" s="504">
        <f t="shared" si="55"/>
        <v>78.864745011086484</v>
      </c>
      <c r="V140" s="504">
        <f t="shared" si="40"/>
        <v>1</v>
      </c>
      <c r="W140" s="504">
        <f t="shared" si="27"/>
        <v>5.8546569121850656</v>
      </c>
      <c r="X140" s="504">
        <f t="shared" si="34"/>
        <v>119</v>
      </c>
      <c r="Y140" s="504">
        <v>1</v>
      </c>
      <c r="Z140" s="504">
        <f t="shared" si="46"/>
        <v>5.8546569121850656</v>
      </c>
      <c r="AA140" s="504">
        <f t="shared" si="47"/>
        <v>100</v>
      </c>
      <c r="AB140" s="504">
        <v>118.92</v>
      </c>
      <c r="AC140" s="504">
        <f t="shared" si="52"/>
        <v>99.932773109243698</v>
      </c>
      <c r="AD140" s="504"/>
      <c r="AE140" s="508"/>
      <c r="AF140" s="504"/>
      <c r="AG140" s="504"/>
      <c r="AH140" s="504"/>
      <c r="AI140" s="504"/>
      <c r="AJ140" s="504"/>
      <c r="AK140" s="504"/>
      <c r="AL140" s="504"/>
      <c r="AM140" s="504"/>
      <c r="AN140" s="504"/>
      <c r="AO140" s="504"/>
      <c r="AP140" s="504"/>
      <c r="AQ140" s="504"/>
      <c r="AR140" s="505"/>
      <c r="AS140" s="505"/>
      <c r="AT140" s="507"/>
      <c r="AU140" s="693">
        <f>'[2]3rd Trimester Progress(Pradesh '!AB140</f>
        <v>30</v>
      </c>
      <c r="AV140" s="693">
        <f t="shared" si="36"/>
        <v>88.92</v>
      </c>
      <c r="AW140" s="305"/>
      <c r="AX140" s="305"/>
      <c r="AY140" s="305"/>
      <c r="AZ140" s="305"/>
      <c r="BA140" s="305"/>
      <c r="BB140" s="305"/>
      <c r="BC140" s="305"/>
      <c r="BD140" s="305"/>
    </row>
    <row r="141" spans="1:56" s="306" customFormat="1" ht="48">
      <c r="A141" s="433" t="s">
        <v>1117</v>
      </c>
      <c r="B141" s="490" t="s">
        <v>974</v>
      </c>
      <c r="C141" s="534" t="s">
        <v>1174</v>
      </c>
      <c r="D141" s="532"/>
      <c r="E141" s="284"/>
      <c r="F141" s="284"/>
      <c r="G141" s="284"/>
      <c r="H141" s="284"/>
      <c r="I141" s="284"/>
      <c r="J141" s="504">
        <v>1</v>
      </c>
      <c r="K141" s="504">
        <f t="shared" si="53"/>
        <v>0.24599398790693555</v>
      </c>
      <c r="L141" s="506">
        <v>5</v>
      </c>
      <c r="M141" s="504">
        <f t="shared" si="50"/>
        <v>5</v>
      </c>
      <c r="N141" s="504">
        <v>1</v>
      </c>
      <c r="O141" s="504">
        <f t="shared" si="54"/>
        <v>6.1498496976733888E-2</v>
      </c>
      <c r="P141" s="504">
        <v>1.25</v>
      </c>
      <c r="Q141" s="504">
        <v>0</v>
      </c>
      <c r="R141" s="504">
        <f t="shared" si="30"/>
        <v>0</v>
      </c>
      <c r="S141" s="504">
        <f t="shared" si="31"/>
        <v>0</v>
      </c>
      <c r="T141" s="504">
        <v>0</v>
      </c>
      <c r="U141" s="504">
        <f t="shared" si="55"/>
        <v>0</v>
      </c>
      <c r="V141" s="504">
        <f t="shared" si="40"/>
        <v>1</v>
      </c>
      <c r="W141" s="504">
        <f t="shared" si="27"/>
        <v>0.24599398790693555</v>
      </c>
      <c r="X141" s="504">
        <f t="shared" si="34"/>
        <v>5</v>
      </c>
      <c r="Y141" s="504">
        <v>1</v>
      </c>
      <c r="Z141" s="504">
        <f t="shared" si="46"/>
        <v>0.24599398790693555</v>
      </c>
      <c r="AA141" s="504">
        <f t="shared" si="47"/>
        <v>100</v>
      </c>
      <c r="AB141" s="504">
        <v>2.2799999999999998</v>
      </c>
      <c r="AC141" s="504">
        <f t="shared" si="52"/>
        <v>45.599999999999994</v>
      </c>
      <c r="AD141" s="504"/>
      <c r="AE141" s="508"/>
      <c r="AF141" s="504"/>
      <c r="AG141" s="504"/>
      <c r="AH141" s="504"/>
      <c r="AI141" s="504"/>
      <c r="AJ141" s="504"/>
      <c r="AK141" s="504"/>
      <c r="AL141" s="504"/>
      <c r="AM141" s="504"/>
      <c r="AN141" s="504"/>
      <c r="AO141" s="504"/>
      <c r="AP141" s="504"/>
      <c r="AQ141" s="504"/>
      <c r="AR141" s="505"/>
      <c r="AS141" s="505"/>
      <c r="AT141" s="507"/>
      <c r="AU141" s="693">
        <f>'[2]3rd Trimester Progress(Pradesh '!AB141</f>
        <v>2.2799999999999998</v>
      </c>
      <c r="AV141" s="693">
        <f t="shared" si="36"/>
        <v>0</v>
      </c>
      <c r="AW141" s="305"/>
      <c r="AX141" s="305"/>
      <c r="AY141" s="305"/>
      <c r="AZ141" s="305"/>
      <c r="BA141" s="305"/>
      <c r="BB141" s="305"/>
      <c r="BC141" s="305"/>
      <c r="BD141" s="305"/>
    </row>
    <row r="142" spans="1:56" s="306" customFormat="1" ht="23.25" customHeight="1">
      <c r="A142" s="433" t="s">
        <v>1118</v>
      </c>
      <c r="B142" s="490" t="s">
        <v>975</v>
      </c>
      <c r="C142" s="534" t="s">
        <v>1174</v>
      </c>
      <c r="D142" s="532"/>
      <c r="E142" s="284"/>
      <c r="F142" s="284"/>
      <c r="G142" s="284"/>
      <c r="H142" s="284"/>
      <c r="I142" s="284"/>
      <c r="J142" s="504">
        <v>1</v>
      </c>
      <c r="K142" s="504">
        <f t="shared" si="53"/>
        <v>5.9038557097664528</v>
      </c>
      <c r="L142" s="506">
        <v>120</v>
      </c>
      <c r="M142" s="504">
        <f t="shared" si="50"/>
        <v>120</v>
      </c>
      <c r="N142" s="504">
        <v>1</v>
      </c>
      <c r="O142" s="504">
        <f t="shared" si="54"/>
        <v>4.4278917823248394</v>
      </c>
      <c r="P142" s="504">
        <v>90</v>
      </c>
      <c r="Q142" s="504">
        <v>1</v>
      </c>
      <c r="R142" s="504">
        <f t="shared" si="30"/>
        <v>4.4278917823248394</v>
      </c>
      <c r="S142" s="504">
        <f t="shared" si="31"/>
        <v>100</v>
      </c>
      <c r="T142" s="504">
        <v>79.975790000000003</v>
      </c>
      <c r="U142" s="504">
        <f t="shared" si="55"/>
        <v>88.861988888888888</v>
      </c>
      <c r="V142" s="504">
        <f t="shared" si="40"/>
        <v>1</v>
      </c>
      <c r="W142" s="504">
        <f t="shared" si="27"/>
        <v>5.9038557097664528</v>
      </c>
      <c r="X142" s="504">
        <f t="shared" si="34"/>
        <v>120</v>
      </c>
      <c r="Y142" s="504">
        <v>1</v>
      </c>
      <c r="Z142" s="504">
        <f t="shared" si="46"/>
        <v>5.9038557097664528</v>
      </c>
      <c r="AA142" s="504">
        <f t="shared" si="47"/>
        <v>100</v>
      </c>
      <c r="AB142" s="504">
        <v>119.03579000000001</v>
      </c>
      <c r="AC142" s="504">
        <f t="shared" si="52"/>
        <v>99.196491666666674</v>
      </c>
      <c r="AD142" s="504"/>
      <c r="AE142" s="508"/>
      <c r="AF142" s="504"/>
      <c r="AG142" s="504"/>
      <c r="AH142" s="504"/>
      <c r="AI142" s="504"/>
      <c r="AJ142" s="504"/>
      <c r="AK142" s="504"/>
      <c r="AL142" s="504"/>
      <c r="AM142" s="504"/>
      <c r="AN142" s="504"/>
      <c r="AO142" s="504"/>
      <c r="AP142" s="504"/>
      <c r="AQ142" s="504"/>
      <c r="AR142" s="505"/>
      <c r="AS142" s="505"/>
      <c r="AT142" s="507"/>
      <c r="AU142" s="693">
        <f>'[2]3rd Trimester Progress(Pradesh '!AB142</f>
        <v>39.06</v>
      </c>
      <c r="AV142" s="693">
        <f t="shared" si="36"/>
        <v>79.975790000000003</v>
      </c>
      <c r="AW142" s="305"/>
      <c r="AX142" s="305"/>
      <c r="AY142" s="305"/>
      <c r="AZ142" s="305"/>
      <c r="BA142" s="305"/>
      <c r="BB142" s="305"/>
      <c r="BC142" s="305"/>
      <c r="BD142" s="305"/>
    </row>
    <row r="143" spans="1:56" s="306" customFormat="1" ht="21.75" customHeight="1">
      <c r="A143" s="433" t="s">
        <v>1119</v>
      </c>
      <c r="B143" s="490" t="s">
        <v>976</v>
      </c>
      <c r="C143" s="534" t="s">
        <v>1174</v>
      </c>
      <c r="D143" s="532"/>
      <c r="E143" s="284"/>
      <c r="F143" s="284"/>
      <c r="G143" s="284"/>
      <c r="H143" s="284"/>
      <c r="I143" s="284"/>
      <c r="J143" s="504">
        <v>1</v>
      </c>
      <c r="K143" s="504">
        <f t="shared" si="53"/>
        <v>0.98397595162774221</v>
      </c>
      <c r="L143" s="506">
        <v>20</v>
      </c>
      <c r="M143" s="504">
        <f t="shared" si="50"/>
        <v>20</v>
      </c>
      <c r="N143" s="504">
        <v>1</v>
      </c>
      <c r="O143" s="504">
        <f t="shared" si="54"/>
        <v>0.24599398790693555</v>
      </c>
      <c r="P143" s="504">
        <v>5</v>
      </c>
      <c r="Q143" s="504">
        <v>0</v>
      </c>
      <c r="R143" s="504">
        <f t="shared" si="30"/>
        <v>0</v>
      </c>
      <c r="S143" s="504">
        <f t="shared" si="31"/>
        <v>0</v>
      </c>
      <c r="T143" s="504">
        <v>0</v>
      </c>
      <c r="U143" s="504">
        <f t="shared" si="55"/>
        <v>0</v>
      </c>
      <c r="V143" s="504">
        <f t="shared" si="40"/>
        <v>1</v>
      </c>
      <c r="W143" s="504">
        <f t="shared" si="27"/>
        <v>0.98397595162774221</v>
      </c>
      <c r="X143" s="504">
        <f t="shared" si="34"/>
        <v>20</v>
      </c>
      <c r="Y143" s="504">
        <v>1</v>
      </c>
      <c r="Z143" s="504">
        <f t="shared" si="46"/>
        <v>0.98397595162774221</v>
      </c>
      <c r="AA143" s="504">
        <f t="shared" si="47"/>
        <v>100</v>
      </c>
      <c r="AB143" s="504">
        <v>19.100000000000001</v>
      </c>
      <c r="AC143" s="504">
        <f t="shared" si="52"/>
        <v>95.5</v>
      </c>
      <c r="AD143" s="504"/>
      <c r="AE143" s="508"/>
      <c r="AF143" s="504"/>
      <c r="AG143" s="504"/>
      <c r="AH143" s="504"/>
      <c r="AI143" s="504"/>
      <c r="AJ143" s="504"/>
      <c r="AK143" s="504"/>
      <c r="AL143" s="504"/>
      <c r="AM143" s="504"/>
      <c r="AN143" s="504"/>
      <c r="AO143" s="504"/>
      <c r="AP143" s="504"/>
      <c r="AQ143" s="504"/>
      <c r="AR143" s="505"/>
      <c r="AS143" s="505"/>
      <c r="AT143" s="507"/>
      <c r="AU143" s="693">
        <f>'[2]3rd Trimester Progress(Pradesh '!AB143</f>
        <v>19.100000000000001</v>
      </c>
      <c r="AV143" s="693">
        <f t="shared" si="36"/>
        <v>0</v>
      </c>
      <c r="AW143" s="305"/>
      <c r="AX143" s="305"/>
      <c r="AY143" s="305"/>
      <c r="AZ143" s="305"/>
      <c r="BA143" s="305"/>
      <c r="BB143" s="305"/>
      <c r="BC143" s="305"/>
      <c r="BD143" s="305"/>
    </row>
    <row r="144" spans="1:56" s="306" customFormat="1" ht="24">
      <c r="A144" s="433" t="s">
        <v>1115</v>
      </c>
      <c r="B144" s="490" t="s">
        <v>977</v>
      </c>
      <c r="C144" s="534" t="s">
        <v>1174</v>
      </c>
      <c r="D144" s="532"/>
      <c r="E144" s="284"/>
      <c r="F144" s="284"/>
      <c r="G144" s="284"/>
      <c r="H144" s="284"/>
      <c r="I144" s="284"/>
      <c r="J144" s="504">
        <v>1</v>
      </c>
      <c r="K144" s="504">
        <f t="shared" si="53"/>
        <v>0</v>
      </c>
      <c r="L144" s="506">
        <v>0</v>
      </c>
      <c r="M144" s="504">
        <f t="shared" si="50"/>
        <v>0</v>
      </c>
      <c r="N144" s="504">
        <v>1</v>
      </c>
      <c r="O144" s="504">
        <f t="shared" si="54"/>
        <v>0</v>
      </c>
      <c r="P144" s="504">
        <v>0</v>
      </c>
      <c r="Q144" s="504">
        <v>0</v>
      </c>
      <c r="R144" s="504">
        <f t="shared" si="30"/>
        <v>0</v>
      </c>
      <c r="S144" s="504">
        <v>0</v>
      </c>
      <c r="T144" s="504">
        <v>0</v>
      </c>
      <c r="U144" s="504">
        <f t="shared" si="55"/>
        <v>0</v>
      </c>
      <c r="V144" s="504">
        <f t="shared" si="40"/>
        <v>1</v>
      </c>
      <c r="W144" s="504">
        <f t="shared" si="27"/>
        <v>0</v>
      </c>
      <c r="X144" s="504">
        <f t="shared" si="34"/>
        <v>0</v>
      </c>
      <c r="Y144" s="504">
        <v>0</v>
      </c>
      <c r="Z144" s="504">
        <f t="shared" si="46"/>
        <v>0</v>
      </c>
      <c r="AA144" s="504">
        <v>0</v>
      </c>
      <c r="AB144" s="504">
        <v>0</v>
      </c>
      <c r="AC144" s="504">
        <f t="shared" si="52"/>
        <v>0</v>
      </c>
      <c r="AD144" s="504"/>
      <c r="AE144" s="508"/>
      <c r="AF144" s="504"/>
      <c r="AG144" s="504"/>
      <c r="AH144" s="504"/>
      <c r="AI144" s="504"/>
      <c r="AJ144" s="504"/>
      <c r="AK144" s="504"/>
      <c r="AL144" s="504"/>
      <c r="AM144" s="504"/>
      <c r="AN144" s="504"/>
      <c r="AO144" s="504"/>
      <c r="AP144" s="504"/>
      <c r="AQ144" s="504"/>
      <c r="AR144" s="505"/>
      <c r="AS144" s="505"/>
      <c r="AT144" s="507"/>
      <c r="AU144" s="693">
        <f>'[2]3rd Trimester Progress(Pradesh '!AB144</f>
        <v>0</v>
      </c>
      <c r="AV144" s="693">
        <f t="shared" si="36"/>
        <v>0</v>
      </c>
      <c r="AW144" s="305"/>
      <c r="AX144" s="305"/>
      <c r="AY144" s="305"/>
      <c r="AZ144" s="305"/>
      <c r="BA144" s="305"/>
      <c r="BB144" s="305"/>
      <c r="BC144" s="305"/>
      <c r="BD144" s="305"/>
    </row>
    <row r="145" spans="1:56" s="306" customFormat="1" ht="24">
      <c r="A145" s="433" t="s">
        <v>1120</v>
      </c>
      <c r="B145" s="490" t="s">
        <v>978</v>
      </c>
      <c r="C145" s="534" t="s">
        <v>1174</v>
      </c>
      <c r="D145" s="532"/>
      <c r="E145" s="284"/>
      <c r="F145" s="284"/>
      <c r="G145" s="284"/>
      <c r="H145" s="284"/>
      <c r="I145" s="284"/>
      <c r="J145" s="504">
        <v>1</v>
      </c>
      <c r="K145" s="504">
        <f t="shared" si="53"/>
        <v>0.98397595162774221</v>
      </c>
      <c r="L145" s="506">
        <v>20</v>
      </c>
      <c r="M145" s="504">
        <f t="shared" si="50"/>
        <v>20</v>
      </c>
      <c r="N145" s="504">
        <v>1</v>
      </c>
      <c r="O145" s="504">
        <f t="shared" si="54"/>
        <v>0.24599398790693555</v>
      </c>
      <c r="P145" s="504">
        <v>5</v>
      </c>
      <c r="Q145" s="504">
        <v>0</v>
      </c>
      <c r="R145" s="504">
        <f t="shared" si="30"/>
        <v>0</v>
      </c>
      <c r="S145" s="504">
        <f t="shared" si="31"/>
        <v>0</v>
      </c>
      <c r="T145" s="504">
        <v>0.70975999999999928</v>
      </c>
      <c r="U145" s="504">
        <f t="shared" si="55"/>
        <v>14.195199999999986</v>
      </c>
      <c r="V145" s="504">
        <f t="shared" si="40"/>
        <v>1</v>
      </c>
      <c r="W145" s="504">
        <f t="shared" si="27"/>
        <v>0.98397595162774221</v>
      </c>
      <c r="X145" s="504">
        <f t="shared" si="34"/>
        <v>20</v>
      </c>
      <c r="Y145" s="504">
        <v>1</v>
      </c>
      <c r="Z145" s="504">
        <f t="shared" si="46"/>
        <v>0.98397595162774221</v>
      </c>
      <c r="AA145" s="504">
        <f t="shared" si="47"/>
        <v>100</v>
      </c>
      <c r="AB145" s="504">
        <v>19.68976</v>
      </c>
      <c r="AC145" s="504">
        <f t="shared" si="52"/>
        <v>98.448800000000006</v>
      </c>
      <c r="AD145" s="504"/>
      <c r="AE145" s="508"/>
      <c r="AF145" s="504"/>
      <c r="AG145" s="504"/>
      <c r="AH145" s="504"/>
      <c r="AI145" s="504"/>
      <c r="AJ145" s="504"/>
      <c r="AK145" s="504"/>
      <c r="AL145" s="504"/>
      <c r="AM145" s="504"/>
      <c r="AN145" s="504"/>
      <c r="AO145" s="504"/>
      <c r="AP145" s="504"/>
      <c r="AQ145" s="504"/>
      <c r="AR145" s="505"/>
      <c r="AS145" s="505"/>
      <c r="AT145" s="507"/>
      <c r="AU145" s="693">
        <f>'[2]3rd Trimester Progress(Pradesh '!AB145</f>
        <v>18.98</v>
      </c>
      <c r="AV145" s="693">
        <f t="shared" si="36"/>
        <v>0.70975999999999928</v>
      </c>
      <c r="AW145" s="305"/>
      <c r="AX145" s="305"/>
      <c r="AY145" s="305"/>
      <c r="AZ145" s="305"/>
      <c r="BA145" s="305"/>
      <c r="BB145" s="305"/>
      <c r="BC145" s="305"/>
      <c r="BD145" s="305"/>
    </row>
    <row r="146" spans="1:56" s="306" customFormat="1" ht="22.5" customHeight="1">
      <c r="A146" s="433" t="s">
        <v>1121</v>
      </c>
      <c r="B146" s="490" t="s">
        <v>979</v>
      </c>
      <c r="C146" s="534" t="s">
        <v>1174</v>
      </c>
      <c r="D146" s="532"/>
      <c r="E146" s="284"/>
      <c r="F146" s="284"/>
      <c r="G146" s="284"/>
      <c r="H146" s="284"/>
      <c r="I146" s="284"/>
      <c r="J146" s="504">
        <v>1</v>
      </c>
      <c r="K146" s="504">
        <f t="shared" si="53"/>
        <v>0.24599398790693555</v>
      </c>
      <c r="L146" s="506">
        <v>5</v>
      </c>
      <c r="M146" s="504">
        <f t="shared" si="50"/>
        <v>5</v>
      </c>
      <c r="N146" s="504">
        <v>1</v>
      </c>
      <c r="O146" s="504">
        <f t="shared" si="54"/>
        <v>0</v>
      </c>
      <c r="P146" s="504">
        <v>0</v>
      </c>
      <c r="Q146" s="504">
        <v>0</v>
      </c>
      <c r="R146" s="504">
        <f t="shared" si="30"/>
        <v>0</v>
      </c>
      <c r="S146" s="504">
        <f t="shared" si="31"/>
        <v>0</v>
      </c>
      <c r="T146" s="504">
        <v>0</v>
      </c>
      <c r="U146" s="504">
        <f t="shared" si="55"/>
        <v>0</v>
      </c>
      <c r="V146" s="504">
        <f t="shared" si="40"/>
        <v>1</v>
      </c>
      <c r="W146" s="504">
        <f t="shared" si="27"/>
        <v>0.24599398790693555</v>
      </c>
      <c r="X146" s="504">
        <f t="shared" si="34"/>
        <v>5</v>
      </c>
      <c r="Y146" s="504">
        <v>0</v>
      </c>
      <c r="Z146" s="504">
        <f t="shared" si="46"/>
        <v>0</v>
      </c>
      <c r="AA146" s="504">
        <f t="shared" si="47"/>
        <v>0</v>
      </c>
      <c r="AB146" s="504">
        <v>0</v>
      </c>
      <c r="AC146" s="504">
        <f t="shared" si="52"/>
        <v>0</v>
      </c>
      <c r="AD146" s="504"/>
      <c r="AE146" s="508"/>
      <c r="AF146" s="504"/>
      <c r="AG146" s="504"/>
      <c r="AH146" s="504"/>
      <c r="AI146" s="504"/>
      <c r="AJ146" s="504"/>
      <c r="AK146" s="504"/>
      <c r="AL146" s="504"/>
      <c r="AM146" s="504"/>
      <c r="AN146" s="504"/>
      <c r="AO146" s="504"/>
      <c r="AP146" s="504"/>
      <c r="AQ146" s="504"/>
      <c r="AR146" s="505"/>
      <c r="AS146" s="505"/>
      <c r="AT146" s="507"/>
      <c r="AU146" s="693">
        <f>'[2]3rd Trimester Progress(Pradesh '!AB146</f>
        <v>0</v>
      </c>
      <c r="AV146" s="693">
        <f t="shared" si="36"/>
        <v>0</v>
      </c>
      <c r="AW146" s="305"/>
      <c r="AX146" s="305"/>
      <c r="AY146" s="305"/>
      <c r="AZ146" s="305"/>
      <c r="BA146" s="305"/>
      <c r="BB146" s="305"/>
      <c r="BC146" s="305"/>
      <c r="BD146" s="305"/>
    </row>
    <row r="147" spans="1:56" s="306" customFormat="1" ht="24">
      <c r="A147" s="433" t="s">
        <v>1122</v>
      </c>
      <c r="B147" s="490" t="s">
        <v>980</v>
      </c>
      <c r="C147" s="534" t="s">
        <v>1174</v>
      </c>
      <c r="D147" s="532"/>
      <c r="E147" s="284"/>
      <c r="F147" s="284"/>
      <c r="G147" s="284"/>
      <c r="H147" s="284"/>
      <c r="I147" s="284"/>
      <c r="J147" s="504">
        <v>1</v>
      </c>
      <c r="K147" s="504">
        <f t="shared" si="53"/>
        <v>1.1069729455812098</v>
      </c>
      <c r="L147" s="506">
        <v>22.5</v>
      </c>
      <c r="M147" s="504">
        <f t="shared" si="50"/>
        <v>22.5</v>
      </c>
      <c r="N147" s="504">
        <v>1</v>
      </c>
      <c r="O147" s="504">
        <f t="shared" si="54"/>
        <v>0.57119803991990425</v>
      </c>
      <c r="P147" s="504">
        <v>11.61</v>
      </c>
      <c r="Q147" s="504">
        <v>0.8</v>
      </c>
      <c r="R147" s="504">
        <f t="shared" si="30"/>
        <v>0.45695843193592345</v>
      </c>
      <c r="S147" s="504">
        <f t="shared" si="31"/>
        <v>80</v>
      </c>
      <c r="T147" s="504">
        <v>9.8251700000000017</v>
      </c>
      <c r="U147" s="504">
        <f t="shared" si="55"/>
        <v>84.626787252368658</v>
      </c>
      <c r="V147" s="504">
        <f t="shared" si="40"/>
        <v>1</v>
      </c>
      <c r="W147" s="504">
        <f t="shared" si="27"/>
        <v>1.1069729455812098</v>
      </c>
      <c r="X147" s="504">
        <f t="shared" si="34"/>
        <v>22.5</v>
      </c>
      <c r="Y147" s="504">
        <v>1</v>
      </c>
      <c r="Z147" s="504">
        <f t="shared" si="46"/>
        <v>1.1069729455812098</v>
      </c>
      <c r="AA147" s="504">
        <f t="shared" si="47"/>
        <v>100</v>
      </c>
      <c r="AB147" s="504">
        <v>22.265170000000001</v>
      </c>
      <c r="AC147" s="504">
        <f t="shared" si="52"/>
        <v>98.95631111111112</v>
      </c>
      <c r="AD147" s="504"/>
      <c r="AE147" s="508"/>
      <c r="AF147" s="504"/>
      <c r="AG147" s="504"/>
      <c r="AH147" s="504"/>
      <c r="AI147" s="504"/>
      <c r="AJ147" s="504"/>
      <c r="AK147" s="504"/>
      <c r="AL147" s="504"/>
      <c r="AM147" s="504"/>
      <c r="AN147" s="504"/>
      <c r="AO147" s="504"/>
      <c r="AP147" s="504"/>
      <c r="AQ147" s="504"/>
      <c r="AR147" s="505"/>
      <c r="AS147" s="505"/>
      <c r="AT147" s="507"/>
      <c r="AU147" s="693">
        <f>'[2]3rd Trimester Progress(Pradesh '!AB147</f>
        <v>12.44</v>
      </c>
      <c r="AV147" s="693">
        <f t="shared" si="36"/>
        <v>9.8251700000000017</v>
      </c>
      <c r="AW147" s="305"/>
      <c r="AX147" s="305"/>
      <c r="AY147" s="305"/>
      <c r="AZ147" s="305"/>
      <c r="BA147" s="305"/>
      <c r="BB147" s="305"/>
      <c r="BC147" s="305"/>
      <c r="BD147" s="305"/>
    </row>
    <row r="148" spans="1:56" s="306" customFormat="1" ht="24">
      <c r="A148" s="527">
        <v>2</v>
      </c>
      <c r="B148" s="695" t="s">
        <v>981</v>
      </c>
      <c r="C148" s="534"/>
      <c r="D148" s="532"/>
      <c r="E148" s="284"/>
      <c r="F148" s="284"/>
      <c r="G148" s="284"/>
      <c r="H148" s="284"/>
      <c r="I148" s="284"/>
      <c r="J148" s="504"/>
      <c r="K148" s="504"/>
      <c r="L148" s="506"/>
      <c r="M148" s="504"/>
      <c r="N148" s="504"/>
      <c r="O148" s="504"/>
      <c r="P148" s="504"/>
      <c r="Q148" s="504"/>
      <c r="R148" s="504"/>
      <c r="S148" s="504"/>
      <c r="T148" s="504"/>
      <c r="U148" s="504"/>
      <c r="V148" s="504"/>
      <c r="W148" s="504"/>
      <c r="X148" s="504"/>
      <c r="Y148" s="504"/>
      <c r="Z148" s="504"/>
      <c r="AA148" s="504"/>
      <c r="AB148" s="504"/>
      <c r="AC148" s="504"/>
      <c r="AD148" s="504"/>
      <c r="AE148" s="508"/>
      <c r="AF148" s="504"/>
      <c r="AG148" s="504"/>
      <c r="AH148" s="504"/>
      <c r="AI148" s="504"/>
      <c r="AJ148" s="504"/>
      <c r="AK148" s="504"/>
      <c r="AL148" s="504"/>
      <c r="AM148" s="504"/>
      <c r="AN148" s="504"/>
      <c r="AO148" s="504"/>
      <c r="AP148" s="504"/>
      <c r="AQ148" s="504"/>
      <c r="AR148" s="505"/>
      <c r="AS148" s="505"/>
      <c r="AT148" s="507"/>
      <c r="AU148" s="693">
        <f>'[2]3rd Trimester Progress(Pradesh '!AB148</f>
        <v>0</v>
      </c>
      <c r="AV148" s="693">
        <f t="shared" si="36"/>
        <v>0</v>
      </c>
      <c r="AW148" s="305"/>
      <c r="AX148" s="305"/>
      <c r="AY148" s="305"/>
      <c r="AZ148" s="305"/>
      <c r="BA148" s="305"/>
      <c r="BB148" s="305"/>
      <c r="BC148" s="305"/>
      <c r="BD148" s="305"/>
    </row>
    <row r="149" spans="1:56" s="306" customFormat="1" ht="23.25" customHeight="1">
      <c r="A149" s="527" t="s">
        <v>1123</v>
      </c>
      <c r="B149" s="490" t="s">
        <v>966</v>
      </c>
      <c r="C149" s="534" t="s">
        <v>1174</v>
      </c>
      <c r="D149" s="532"/>
      <c r="E149" s="284"/>
      <c r="F149" s="284"/>
      <c r="G149" s="284"/>
      <c r="H149" s="284"/>
      <c r="I149" s="284"/>
      <c r="J149" s="504">
        <v>1</v>
      </c>
      <c r="K149" s="504">
        <f t="shared" ref="K149:K163" si="56">(L149/$L$198)*100</f>
        <v>0.39359038065109686</v>
      </c>
      <c r="L149" s="506">
        <v>8</v>
      </c>
      <c r="M149" s="504">
        <f t="shared" si="50"/>
        <v>8</v>
      </c>
      <c r="N149" s="504">
        <v>1</v>
      </c>
      <c r="O149" s="504">
        <f t="shared" ref="O149:O163" si="57">P149/$L$198*100</f>
        <v>9.8397595162774215E-2</v>
      </c>
      <c r="P149" s="504">
        <v>2</v>
      </c>
      <c r="Q149" s="504">
        <v>0</v>
      </c>
      <c r="R149" s="504">
        <f t="shared" si="30"/>
        <v>0</v>
      </c>
      <c r="S149" s="504">
        <f t="shared" si="31"/>
        <v>0</v>
      </c>
      <c r="T149" s="504">
        <v>0</v>
      </c>
      <c r="U149" s="504">
        <f t="shared" ref="U149:U163" si="58">IFERROR(T149/P149*100,0)</f>
        <v>0</v>
      </c>
      <c r="V149" s="504">
        <f t="shared" si="40"/>
        <v>1</v>
      </c>
      <c r="W149" s="504">
        <f t="shared" si="27"/>
        <v>0.39359038065109686</v>
      </c>
      <c r="X149" s="504">
        <f t="shared" si="34"/>
        <v>8</v>
      </c>
      <c r="Y149" s="504">
        <v>1</v>
      </c>
      <c r="Z149" s="504">
        <f t="shared" si="46"/>
        <v>0.39359038065109686</v>
      </c>
      <c r="AA149" s="504">
        <f t="shared" si="47"/>
        <v>100</v>
      </c>
      <c r="AB149" s="504">
        <v>7.55</v>
      </c>
      <c r="AC149" s="504">
        <f t="shared" si="52"/>
        <v>94.375</v>
      </c>
      <c r="AD149" s="504"/>
      <c r="AE149" s="508"/>
      <c r="AF149" s="504"/>
      <c r="AG149" s="504"/>
      <c r="AH149" s="504"/>
      <c r="AI149" s="504"/>
      <c r="AJ149" s="504"/>
      <c r="AK149" s="504"/>
      <c r="AL149" s="504"/>
      <c r="AM149" s="504"/>
      <c r="AN149" s="504"/>
      <c r="AO149" s="504"/>
      <c r="AP149" s="504"/>
      <c r="AQ149" s="504"/>
      <c r="AR149" s="505"/>
      <c r="AS149" s="505"/>
      <c r="AT149" s="507"/>
      <c r="AU149" s="693">
        <f>'[2]3rd Trimester Progress(Pradesh '!AB149</f>
        <v>7.55</v>
      </c>
      <c r="AV149" s="693">
        <f t="shared" si="36"/>
        <v>0</v>
      </c>
      <c r="AW149" s="305"/>
      <c r="AX149" s="305"/>
      <c r="AY149" s="305"/>
      <c r="AZ149" s="305"/>
      <c r="BA149" s="305"/>
      <c r="BB149" s="305"/>
      <c r="BC149" s="305"/>
      <c r="BD149" s="305"/>
    </row>
    <row r="150" spans="1:56" s="306" customFormat="1" ht="25.5" customHeight="1">
      <c r="A150" s="527" t="s">
        <v>1124</v>
      </c>
      <c r="B150" s="490" t="s">
        <v>982</v>
      </c>
      <c r="C150" s="534" t="s">
        <v>1174</v>
      </c>
      <c r="D150" s="532"/>
      <c r="E150" s="284"/>
      <c r="F150" s="284"/>
      <c r="G150" s="284"/>
      <c r="H150" s="284"/>
      <c r="I150" s="284"/>
      <c r="J150" s="504">
        <v>1</v>
      </c>
      <c r="K150" s="504">
        <f t="shared" si="56"/>
        <v>0.7379819637208066</v>
      </c>
      <c r="L150" s="506">
        <v>15</v>
      </c>
      <c r="M150" s="504">
        <f t="shared" si="50"/>
        <v>15</v>
      </c>
      <c r="N150" s="504">
        <v>1</v>
      </c>
      <c r="O150" s="504">
        <f t="shared" si="57"/>
        <v>0.18449549093020165</v>
      </c>
      <c r="P150" s="504">
        <v>3.75</v>
      </c>
      <c r="Q150" s="504">
        <v>0</v>
      </c>
      <c r="R150" s="504">
        <f t="shared" si="30"/>
        <v>0</v>
      </c>
      <c r="S150" s="504">
        <f t="shared" si="31"/>
        <v>0</v>
      </c>
      <c r="T150" s="504">
        <v>0.46983999999999959</v>
      </c>
      <c r="U150" s="504">
        <f t="shared" si="58"/>
        <v>12.529066666666655</v>
      </c>
      <c r="V150" s="504">
        <f t="shared" si="40"/>
        <v>1</v>
      </c>
      <c r="W150" s="504">
        <f t="shared" si="27"/>
        <v>0.7379819637208066</v>
      </c>
      <c r="X150" s="504">
        <f t="shared" si="34"/>
        <v>15</v>
      </c>
      <c r="Y150" s="504">
        <v>1</v>
      </c>
      <c r="Z150" s="504">
        <f t="shared" si="46"/>
        <v>0.7379819637208066</v>
      </c>
      <c r="AA150" s="504">
        <f t="shared" si="47"/>
        <v>100</v>
      </c>
      <c r="AB150" s="504">
        <v>14.68984</v>
      </c>
      <c r="AC150" s="504">
        <f t="shared" si="52"/>
        <v>97.932266666666663</v>
      </c>
      <c r="AD150" s="504"/>
      <c r="AE150" s="508"/>
      <c r="AF150" s="504"/>
      <c r="AG150" s="504"/>
      <c r="AH150" s="504"/>
      <c r="AI150" s="504"/>
      <c r="AJ150" s="504"/>
      <c r="AK150" s="504"/>
      <c r="AL150" s="504"/>
      <c r="AM150" s="504"/>
      <c r="AN150" s="504"/>
      <c r="AO150" s="504"/>
      <c r="AP150" s="504"/>
      <c r="AQ150" s="504"/>
      <c r="AR150" s="505"/>
      <c r="AS150" s="505"/>
      <c r="AT150" s="507"/>
      <c r="AU150" s="693">
        <f>'[2]3rd Trimester Progress(Pradesh '!AB150</f>
        <v>14.22</v>
      </c>
      <c r="AV150" s="693">
        <f t="shared" si="36"/>
        <v>0.46983999999999959</v>
      </c>
      <c r="AW150" s="305"/>
      <c r="AX150" s="305"/>
      <c r="AY150" s="305"/>
      <c r="AZ150" s="305"/>
      <c r="BA150" s="305"/>
      <c r="BB150" s="305"/>
      <c r="BC150" s="305"/>
      <c r="BD150" s="305"/>
    </row>
    <row r="151" spans="1:56" s="306" customFormat="1" ht="46.5" customHeight="1">
      <c r="A151" s="527" t="s">
        <v>1125</v>
      </c>
      <c r="B151" s="490" t="s">
        <v>983</v>
      </c>
      <c r="C151" s="534" t="s">
        <v>1174</v>
      </c>
      <c r="D151" s="532"/>
      <c r="E151" s="284"/>
      <c r="F151" s="284"/>
      <c r="G151" s="284"/>
      <c r="H151" s="284"/>
      <c r="I151" s="284"/>
      <c r="J151" s="504">
        <v>1</v>
      </c>
      <c r="K151" s="504">
        <f t="shared" si="56"/>
        <v>0.24599398790693555</v>
      </c>
      <c r="L151" s="506">
        <v>5</v>
      </c>
      <c r="M151" s="504">
        <f t="shared" si="50"/>
        <v>5</v>
      </c>
      <c r="N151" s="504">
        <v>1</v>
      </c>
      <c r="O151" s="504">
        <f t="shared" si="57"/>
        <v>6.1498496976733888E-2</v>
      </c>
      <c r="P151" s="504">
        <v>1.25</v>
      </c>
      <c r="Q151" s="504">
        <v>0</v>
      </c>
      <c r="R151" s="504">
        <f t="shared" si="30"/>
        <v>0</v>
      </c>
      <c r="S151" s="504">
        <f t="shared" si="31"/>
        <v>0</v>
      </c>
      <c r="T151" s="504">
        <v>0</v>
      </c>
      <c r="U151" s="504">
        <f t="shared" si="58"/>
        <v>0</v>
      </c>
      <c r="V151" s="504">
        <f t="shared" si="40"/>
        <v>1</v>
      </c>
      <c r="W151" s="504">
        <f t="shared" ref="W151:W163" si="59">X151/$L$198*100</f>
        <v>0.24599398790693555</v>
      </c>
      <c r="X151" s="504">
        <f t="shared" si="34"/>
        <v>5</v>
      </c>
      <c r="Y151" s="504">
        <v>1</v>
      </c>
      <c r="Z151" s="504">
        <f t="shared" si="46"/>
        <v>0.24599398790693555</v>
      </c>
      <c r="AA151" s="504">
        <f t="shared" si="47"/>
        <v>100</v>
      </c>
      <c r="AB151" s="504">
        <v>4.66</v>
      </c>
      <c r="AC151" s="504">
        <f t="shared" si="52"/>
        <v>93.2</v>
      </c>
      <c r="AD151" s="504"/>
      <c r="AE151" s="508"/>
      <c r="AF151" s="504"/>
      <c r="AG151" s="504"/>
      <c r="AH151" s="504"/>
      <c r="AI151" s="504"/>
      <c r="AJ151" s="504"/>
      <c r="AK151" s="504"/>
      <c r="AL151" s="504"/>
      <c r="AM151" s="504"/>
      <c r="AN151" s="504"/>
      <c r="AO151" s="504"/>
      <c r="AP151" s="504"/>
      <c r="AQ151" s="504"/>
      <c r="AR151" s="505"/>
      <c r="AS151" s="505"/>
      <c r="AT151" s="507"/>
      <c r="AU151" s="693">
        <f>'[2]3rd Trimester Progress(Pradesh '!AB151</f>
        <v>4.66</v>
      </c>
      <c r="AV151" s="693">
        <f t="shared" si="36"/>
        <v>0</v>
      </c>
      <c r="AW151" s="305"/>
      <c r="AX151" s="305"/>
      <c r="AY151" s="305"/>
      <c r="AZ151" s="305"/>
      <c r="BA151" s="305"/>
      <c r="BB151" s="305"/>
      <c r="BC151" s="305"/>
      <c r="BD151" s="305"/>
    </row>
    <row r="152" spans="1:56" s="306" customFormat="1" ht="46.5" customHeight="1">
      <c r="A152" s="527" t="s">
        <v>1126</v>
      </c>
      <c r="B152" s="490" t="s">
        <v>984</v>
      </c>
      <c r="C152" s="534" t="s">
        <v>1174</v>
      </c>
      <c r="D152" s="532"/>
      <c r="E152" s="284"/>
      <c r="F152" s="284"/>
      <c r="G152" s="284"/>
      <c r="H152" s="284"/>
      <c r="I152" s="284"/>
      <c r="J152" s="504">
        <v>1</v>
      </c>
      <c r="K152" s="504">
        <f t="shared" si="56"/>
        <v>0.24599398790693555</v>
      </c>
      <c r="L152" s="506">
        <v>5</v>
      </c>
      <c r="M152" s="504">
        <f t="shared" si="50"/>
        <v>5</v>
      </c>
      <c r="N152" s="504">
        <v>1</v>
      </c>
      <c r="O152" s="504">
        <f t="shared" si="57"/>
        <v>6.1498496976733888E-2</v>
      </c>
      <c r="P152" s="504">
        <v>1.25</v>
      </c>
      <c r="Q152" s="504">
        <v>0</v>
      </c>
      <c r="R152" s="504">
        <f t="shared" ref="R152:R163" si="60">IF(N152=0,Q152/J152*K152,Q152/N152*O152)</f>
        <v>0</v>
      </c>
      <c r="S152" s="504">
        <f t="shared" ref="S152:S163" si="61">ROUND(IF(O152=0,R152/K152*100,R152/O152*100),2)</f>
        <v>0</v>
      </c>
      <c r="T152" s="504">
        <v>0.19935999999999954</v>
      </c>
      <c r="U152" s="504">
        <f t="shared" si="58"/>
        <v>15.948799999999963</v>
      </c>
      <c r="V152" s="504">
        <f t="shared" ref="V152:V163" si="62">J152</f>
        <v>1</v>
      </c>
      <c r="W152" s="504">
        <f t="shared" si="59"/>
        <v>0.24599398790693555</v>
      </c>
      <c r="X152" s="504">
        <f t="shared" ref="X152:X163" si="63">M152</f>
        <v>5</v>
      </c>
      <c r="Y152" s="504">
        <v>1</v>
      </c>
      <c r="Z152" s="504">
        <f t="shared" si="46"/>
        <v>0.24599398790693555</v>
      </c>
      <c r="AA152" s="504">
        <f t="shared" si="47"/>
        <v>100</v>
      </c>
      <c r="AB152" s="504">
        <v>4.9793599999999998</v>
      </c>
      <c r="AC152" s="504">
        <f t="shared" si="52"/>
        <v>99.587199999999996</v>
      </c>
      <c r="AD152" s="504"/>
      <c r="AE152" s="508"/>
      <c r="AF152" s="504"/>
      <c r="AG152" s="504"/>
      <c r="AH152" s="504"/>
      <c r="AI152" s="504"/>
      <c r="AJ152" s="504"/>
      <c r="AK152" s="504"/>
      <c r="AL152" s="504"/>
      <c r="AM152" s="504"/>
      <c r="AN152" s="504"/>
      <c r="AO152" s="504"/>
      <c r="AP152" s="504"/>
      <c r="AQ152" s="504"/>
      <c r="AR152" s="505"/>
      <c r="AS152" s="505"/>
      <c r="AT152" s="507"/>
      <c r="AU152" s="693">
        <f>'[2]3rd Trimester Progress(Pradesh '!AB152</f>
        <v>4.78</v>
      </c>
      <c r="AV152" s="693">
        <f t="shared" ref="AV152:AV163" si="64">AB152-AU152</f>
        <v>0.19935999999999954</v>
      </c>
      <c r="AW152" s="305"/>
      <c r="AX152" s="305"/>
      <c r="AY152" s="305"/>
      <c r="AZ152" s="305"/>
      <c r="BA152" s="305"/>
      <c r="BB152" s="305"/>
      <c r="BC152" s="305"/>
      <c r="BD152" s="305"/>
    </row>
    <row r="153" spans="1:56" s="306" customFormat="1" ht="72">
      <c r="A153" s="527" t="s">
        <v>1128</v>
      </c>
      <c r="B153" s="490" t="s">
        <v>985</v>
      </c>
      <c r="C153" s="534" t="s">
        <v>1174</v>
      </c>
      <c r="D153" s="532"/>
      <c r="E153" s="284"/>
      <c r="F153" s="284"/>
      <c r="G153" s="284"/>
      <c r="H153" s="284"/>
      <c r="I153" s="284"/>
      <c r="J153" s="504">
        <v>1</v>
      </c>
      <c r="K153" s="504">
        <f t="shared" si="56"/>
        <v>0.24599398790693555</v>
      </c>
      <c r="L153" s="506">
        <v>5</v>
      </c>
      <c r="M153" s="504">
        <f t="shared" si="50"/>
        <v>5</v>
      </c>
      <c r="N153" s="504">
        <v>1</v>
      </c>
      <c r="O153" s="504">
        <f t="shared" si="57"/>
        <v>6.1498496976733888E-2</v>
      </c>
      <c r="P153" s="504">
        <v>1.25</v>
      </c>
      <c r="Q153" s="504">
        <v>0</v>
      </c>
      <c r="R153" s="504">
        <f t="shared" si="60"/>
        <v>0</v>
      </c>
      <c r="S153" s="504">
        <f t="shared" si="61"/>
        <v>0</v>
      </c>
      <c r="T153" s="504">
        <v>0.19935999999999954</v>
      </c>
      <c r="U153" s="504">
        <f t="shared" si="58"/>
        <v>15.948799999999963</v>
      </c>
      <c r="V153" s="504">
        <f t="shared" si="62"/>
        <v>1</v>
      </c>
      <c r="W153" s="504">
        <f t="shared" si="59"/>
        <v>0.24599398790693555</v>
      </c>
      <c r="X153" s="504">
        <f t="shared" si="63"/>
        <v>5</v>
      </c>
      <c r="Y153" s="504">
        <v>1</v>
      </c>
      <c r="Z153" s="504">
        <f t="shared" si="46"/>
        <v>0.24599398790693555</v>
      </c>
      <c r="AA153" s="504">
        <f t="shared" si="47"/>
        <v>100</v>
      </c>
      <c r="AB153" s="504">
        <v>4.9793599999999998</v>
      </c>
      <c r="AC153" s="504">
        <f t="shared" si="52"/>
        <v>99.587199999999996</v>
      </c>
      <c r="AD153" s="504"/>
      <c r="AE153" s="508"/>
      <c r="AF153" s="504"/>
      <c r="AG153" s="504"/>
      <c r="AH153" s="504"/>
      <c r="AI153" s="504"/>
      <c r="AJ153" s="504"/>
      <c r="AK153" s="504"/>
      <c r="AL153" s="504"/>
      <c r="AM153" s="504"/>
      <c r="AN153" s="504"/>
      <c r="AO153" s="504"/>
      <c r="AP153" s="504"/>
      <c r="AQ153" s="504"/>
      <c r="AR153" s="505"/>
      <c r="AS153" s="505"/>
      <c r="AT153" s="507"/>
      <c r="AU153" s="693">
        <f>'[2]3rd Trimester Progress(Pradesh '!AB153</f>
        <v>4.78</v>
      </c>
      <c r="AV153" s="693">
        <f t="shared" si="64"/>
        <v>0.19935999999999954</v>
      </c>
      <c r="AW153" s="305"/>
      <c r="AX153" s="305"/>
      <c r="AY153" s="305"/>
      <c r="AZ153" s="305"/>
      <c r="BA153" s="305"/>
      <c r="BB153" s="305"/>
      <c r="BC153" s="305"/>
      <c r="BD153" s="305"/>
    </row>
    <row r="154" spans="1:56" s="306" customFormat="1" ht="48.75" customHeight="1">
      <c r="A154" s="527" t="s">
        <v>1129</v>
      </c>
      <c r="B154" s="490" t="s">
        <v>986</v>
      </c>
      <c r="C154" s="534" t="s">
        <v>1174</v>
      </c>
      <c r="D154" s="532"/>
      <c r="E154" s="284"/>
      <c r="F154" s="284"/>
      <c r="G154" s="284"/>
      <c r="H154" s="284"/>
      <c r="I154" s="284"/>
      <c r="J154" s="504">
        <v>1</v>
      </c>
      <c r="K154" s="504">
        <f t="shared" si="56"/>
        <v>0.24599398790693555</v>
      </c>
      <c r="L154" s="506">
        <v>5</v>
      </c>
      <c r="M154" s="504">
        <f t="shared" si="50"/>
        <v>5</v>
      </c>
      <c r="N154" s="504">
        <v>1</v>
      </c>
      <c r="O154" s="504">
        <f t="shared" si="57"/>
        <v>6.1498496976733888E-2</v>
      </c>
      <c r="P154" s="504">
        <v>1.25</v>
      </c>
      <c r="Q154" s="504">
        <v>0</v>
      </c>
      <c r="R154" s="504">
        <f t="shared" si="60"/>
        <v>0</v>
      </c>
      <c r="S154" s="504">
        <f t="shared" si="61"/>
        <v>0</v>
      </c>
      <c r="T154" s="504">
        <v>0.19896000000000047</v>
      </c>
      <c r="U154" s="504">
        <f t="shared" si="58"/>
        <v>15.916800000000036</v>
      </c>
      <c r="V154" s="504">
        <f t="shared" si="62"/>
        <v>1</v>
      </c>
      <c r="W154" s="504">
        <f t="shared" si="59"/>
        <v>0.24599398790693555</v>
      </c>
      <c r="X154" s="504">
        <f t="shared" si="63"/>
        <v>5</v>
      </c>
      <c r="Y154" s="504">
        <v>1</v>
      </c>
      <c r="Z154" s="504">
        <f t="shared" si="46"/>
        <v>0.24599398790693555</v>
      </c>
      <c r="AA154" s="504">
        <f t="shared" si="47"/>
        <v>100</v>
      </c>
      <c r="AB154" s="504">
        <v>4.96896</v>
      </c>
      <c r="AC154" s="504">
        <f t="shared" si="52"/>
        <v>99.379199999999997</v>
      </c>
      <c r="AD154" s="504"/>
      <c r="AE154" s="508"/>
      <c r="AF154" s="504"/>
      <c r="AG154" s="504"/>
      <c r="AH154" s="504"/>
      <c r="AI154" s="504"/>
      <c r="AJ154" s="504"/>
      <c r="AK154" s="504"/>
      <c r="AL154" s="504"/>
      <c r="AM154" s="504"/>
      <c r="AN154" s="504"/>
      <c r="AO154" s="504"/>
      <c r="AP154" s="504"/>
      <c r="AQ154" s="504"/>
      <c r="AR154" s="505"/>
      <c r="AS154" s="505"/>
      <c r="AT154" s="507"/>
      <c r="AU154" s="693">
        <f>'[2]3rd Trimester Progress(Pradesh '!AB154</f>
        <v>4.7699999999999996</v>
      </c>
      <c r="AV154" s="693">
        <f t="shared" si="64"/>
        <v>0.19896000000000047</v>
      </c>
      <c r="AW154" s="305"/>
      <c r="AX154" s="305"/>
      <c r="AY154" s="305"/>
      <c r="AZ154" s="305"/>
      <c r="BA154" s="305"/>
      <c r="BB154" s="305"/>
      <c r="BC154" s="305"/>
      <c r="BD154" s="305"/>
    </row>
    <row r="155" spans="1:56" s="306" customFormat="1" ht="48">
      <c r="A155" s="527" t="s">
        <v>1130</v>
      </c>
      <c r="B155" s="490" t="s">
        <v>987</v>
      </c>
      <c r="C155" s="534" t="s">
        <v>1174</v>
      </c>
      <c r="D155" s="532"/>
      <c r="E155" s="284"/>
      <c r="F155" s="284"/>
      <c r="G155" s="284"/>
      <c r="H155" s="284"/>
      <c r="I155" s="284"/>
      <c r="J155" s="504">
        <v>1</v>
      </c>
      <c r="K155" s="504">
        <f t="shared" si="56"/>
        <v>0.4919879758138711</v>
      </c>
      <c r="L155" s="506">
        <v>10</v>
      </c>
      <c r="M155" s="504">
        <f t="shared" ref="M155:M163" si="65">L155</f>
        <v>10</v>
      </c>
      <c r="N155" s="504">
        <v>1</v>
      </c>
      <c r="O155" s="504">
        <f t="shared" si="57"/>
        <v>0.12299699395346778</v>
      </c>
      <c r="P155" s="504">
        <v>2.5</v>
      </c>
      <c r="Q155" s="504">
        <v>0.1</v>
      </c>
      <c r="R155" s="504">
        <f t="shared" si="60"/>
        <v>1.2299699395346779E-2</v>
      </c>
      <c r="S155" s="504">
        <f t="shared" si="61"/>
        <v>10</v>
      </c>
      <c r="T155" s="504">
        <v>9.8473000000000006</v>
      </c>
      <c r="U155" s="504">
        <f t="shared" si="58"/>
        <v>393.89200000000005</v>
      </c>
      <c r="V155" s="504">
        <f t="shared" si="62"/>
        <v>1</v>
      </c>
      <c r="W155" s="504">
        <f t="shared" si="59"/>
        <v>0.4919879758138711</v>
      </c>
      <c r="X155" s="504">
        <f t="shared" si="63"/>
        <v>10</v>
      </c>
      <c r="Y155" s="504">
        <v>1</v>
      </c>
      <c r="Z155" s="504">
        <f t="shared" si="46"/>
        <v>0.4919879758138711</v>
      </c>
      <c r="AA155" s="504">
        <f t="shared" si="47"/>
        <v>100</v>
      </c>
      <c r="AB155" s="504">
        <v>9.8473000000000006</v>
      </c>
      <c r="AC155" s="504">
        <f t="shared" si="52"/>
        <v>98.473000000000013</v>
      </c>
      <c r="AD155" s="504"/>
      <c r="AE155" s="508"/>
      <c r="AF155" s="504"/>
      <c r="AG155" s="504"/>
      <c r="AH155" s="504"/>
      <c r="AI155" s="504"/>
      <c r="AJ155" s="504"/>
      <c r="AK155" s="504"/>
      <c r="AL155" s="504"/>
      <c r="AM155" s="504"/>
      <c r="AN155" s="504"/>
      <c r="AO155" s="504"/>
      <c r="AP155" s="504"/>
      <c r="AQ155" s="504"/>
      <c r="AR155" s="505"/>
      <c r="AS155" s="505"/>
      <c r="AT155" s="507"/>
      <c r="AU155" s="693">
        <f>'[2]3rd Trimester Progress(Pradesh '!AB155</f>
        <v>0</v>
      </c>
      <c r="AV155" s="693">
        <f t="shared" si="64"/>
        <v>9.8473000000000006</v>
      </c>
      <c r="AW155" s="305"/>
      <c r="AX155" s="305"/>
      <c r="AY155" s="305"/>
      <c r="AZ155" s="305"/>
      <c r="BA155" s="305"/>
      <c r="BB155" s="305"/>
      <c r="BC155" s="305"/>
      <c r="BD155" s="305"/>
    </row>
    <row r="156" spans="1:56" s="306" customFormat="1" ht="48">
      <c r="A156" s="527" t="s">
        <v>1131</v>
      </c>
      <c r="B156" s="490" t="s">
        <v>988</v>
      </c>
      <c r="C156" s="534" t="s">
        <v>1174</v>
      </c>
      <c r="D156" s="532"/>
      <c r="E156" s="284"/>
      <c r="F156" s="284"/>
      <c r="G156" s="284"/>
      <c r="H156" s="284"/>
      <c r="I156" s="284"/>
      <c r="J156" s="504">
        <v>1</v>
      </c>
      <c r="K156" s="504">
        <f t="shared" si="56"/>
        <v>0</v>
      </c>
      <c r="L156" s="506">
        <v>0</v>
      </c>
      <c r="M156" s="504">
        <f t="shared" si="65"/>
        <v>0</v>
      </c>
      <c r="N156" s="504">
        <v>1</v>
      </c>
      <c r="O156" s="504">
        <f t="shared" si="57"/>
        <v>0</v>
      </c>
      <c r="P156" s="504">
        <v>0</v>
      </c>
      <c r="Q156" s="504">
        <v>0</v>
      </c>
      <c r="R156" s="504">
        <f t="shared" si="60"/>
        <v>0</v>
      </c>
      <c r="S156" s="504">
        <v>0</v>
      </c>
      <c r="T156" s="504">
        <v>0</v>
      </c>
      <c r="U156" s="504">
        <f t="shared" si="58"/>
        <v>0</v>
      </c>
      <c r="V156" s="504">
        <f t="shared" si="62"/>
        <v>1</v>
      </c>
      <c r="W156" s="504">
        <f t="shared" si="59"/>
        <v>0</v>
      </c>
      <c r="X156" s="504">
        <f t="shared" si="63"/>
        <v>0</v>
      </c>
      <c r="Y156" s="504">
        <v>0</v>
      </c>
      <c r="Z156" s="504">
        <f t="shared" si="46"/>
        <v>0</v>
      </c>
      <c r="AA156" s="504">
        <v>0</v>
      </c>
      <c r="AB156" s="504">
        <v>0</v>
      </c>
      <c r="AC156" s="504">
        <f t="shared" si="52"/>
        <v>0</v>
      </c>
      <c r="AD156" s="504"/>
      <c r="AE156" s="508"/>
      <c r="AF156" s="504"/>
      <c r="AG156" s="504"/>
      <c r="AH156" s="504"/>
      <c r="AI156" s="504"/>
      <c r="AJ156" s="504"/>
      <c r="AK156" s="504"/>
      <c r="AL156" s="504"/>
      <c r="AM156" s="504"/>
      <c r="AN156" s="504"/>
      <c r="AO156" s="504"/>
      <c r="AP156" s="504"/>
      <c r="AQ156" s="504"/>
      <c r="AR156" s="505"/>
      <c r="AS156" s="505"/>
      <c r="AT156" s="507"/>
      <c r="AU156" s="693">
        <f>'[2]3rd Trimester Progress(Pradesh '!AB156</f>
        <v>0</v>
      </c>
      <c r="AV156" s="693">
        <f t="shared" si="64"/>
        <v>0</v>
      </c>
      <c r="AW156" s="305"/>
      <c r="AX156" s="305"/>
      <c r="AY156" s="305"/>
      <c r="AZ156" s="305"/>
      <c r="BA156" s="305"/>
      <c r="BB156" s="305"/>
      <c r="BC156" s="305"/>
      <c r="BD156" s="305"/>
    </row>
    <row r="157" spans="1:56" s="306" customFormat="1" ht="48">
      <c r="A157" s="527" t="s">
        <v>1127</v>
      </c>
      <c r="B157" s="490" t="s">
        <v>989</v>
      </c>
      <c r="C157" s="534" t="s">
        <v>1174</v>
      </c>
      <c r="D157" s="532"/>
      <c r="E157" s="284"/>
      <c r="F157" s="284"/>
      <c r="G157" s="284"/>
      <c r="H157" s="284"/>
      <c r="I157" s="284"/>
      <c r="J157" s="504">
        <v>1</v>
      </c>
      <c r="K157" s="504">
        <f t="shared" si="56"/>
        <v>0.24599398790693555</v>
      </c>
      <c r="L157" s="506">
        <v>5</v>
      </c>
      <c r="M157" s="504">
        <f t="shared" si="65"/>
        <v>5</v>
      </c>
      <c r="N157" s="504">
        <v>1</v>
      </c>
      <c r="O157" s="504">
        <f t="shared" si="57"/>
        <v>6.1498496976733888E-2</v>
      </c>
      <c r="P157" s="504">
        <v>1.25</v>
      </c>
      <c r="Q157" s="504">
        <v>0</v>
      </c>
      <c r="R157" s="504">
        <f t="shared" si="60"/>
        <v>0</v>
      </c>
      <c r="S157" s="504">
        <f t="shared" si="61"/>
        <v>0</v>
      </c>
      <c r="T157" s="504">
        <v>0</v>
      </c>
      <c r="U157" s="504">
        <f t="shared" si="58"/>
        <v>0</v>
      </c>
      <c r="V157" s="504">
        <f t="shared" si="62"/>
        <v>1</v>
      </c>
      <c r="W157" s="504">
        <f t="shared" si="59"/>
        <v>0.24599398790693555</v>
      </c>
      <c r="X157" s="504">
        <f t="shared" si="63"/>
        <v>5</v>
      </c>
      <c r="Y157" s="504">
        <f t="shared" ref="Y157" si="66">J157</f>
        <v>1</v>
      </c>
      <c r="Z157" s="504">
        <f t="shared" si="46"/>
        <v>0.24599398790693555</v>
      </c>
      <c r="AA157" s="504">
        <f t="shared" si="47"/>
        <v>100</v>
      </c>
      <c r="AB157" s="504">
        <v>4.97</v>
      </c>
      <c r="AC157" s="504">
        <f t="shared" si="52"/>
        <v>99.4</v>
      </c>
      <c r="AD157" s="504"/>
      <c r="AE157" s="508"/>
      <c r="AF157" s="504"/>
      <c r="AG157" s="504"/>
      <c r="AH157" s="504"/>
      <c r="AI157" s="504"/>
      <c r="AJ157" s="504"/>
      <c r="AK157" s="504"/>
      <c r="AL157" s="504"/>
      <c r="AM157" s="504"/>
      <c r="AN157" s="504"/>
      <c r="AO157" s="504"/>
      <c r="AP157" s="504"/>
      <c r="AQ157" s="504"/>
      <c r="AR157" s="505"/>
      <c r="AS157" s="505"/>
      <c r="AT157" s="507"/>
      <c r="AU157" s="693">
        <f>'[2]3rd Trimester Progress(Pradesh '!AB157</f>
        <v>4.97</v>
      </c>
      <c r="AV157" s="693">
        <f t="shared" si="64"/>
        <v>0</v>
      </c>
      <c r="AW157" s="305"/>
      <c r="AX157" s="305"/>
      <c r="AY157" s="305"/>
      <c r="AZ157" s="305"/>
      <c r="BA157" s="305"/>
      <c r="BB157" s="305"/>
      <c r="BC157" s="305"/>
      <c r="BD157" s="305"/>
    </row>
    <row r="158" spans="1:56" s="306" customFormat="1" ht="48">
      <c r="A158" s="527" t="s">
        <v>1132</v>
      </c>
      <c r="B158" s="490" t="s">
        <v>990</v>
      </c>
      <c r="C158" s="534" t="s">
        <v>1174</v>
      </c>
      <c r="D158" s="532"/>
      <c r="E158" s="284"/>
      <c r="F158" s="284"/>
      <c r="G158" s="284"/>
      <c r="H158" s="284"/>
      <c r="I158" s="284"/>
      <c r="J158" s="504">
        <v>1</v>
      </c>
      <c r="K158" s="504">
        <f t="shared" si="56"/>
        <v>0.24599398790693555</v>
      </c>
      <c r="L158" s="506">
        <v>5</v>
      </c>
      <c r="M158" s="504">
        <f t="shared" si="65"/>
        <v>5</v>
      </c>
      <c r="N158" s="504">
        <v>1</v>
      </c>
      <c r="O158" s="504">
        <f t="shared" si="57"/>
        <v>6.1498496976733888E-2</v>
      </c>
      <c r="P158" s="504">
        <v>1.25</v>
      </c>
      <c r="Q158" s="504">
        <v>0</v>
      </c>
      <c r="R158" s="504">
        <f t="shared" si="60"/>
        <v>0</v>
      </c>
      <c r="S158" s="504">
        <f t="shared" si="61"/>
        <v>0</v>
      </c>
      <c r="T158" s="504">
        <v>0</v>
      </c>
      <c r="U158" s="504">
        <f t="shared" si="58"/>
        <v>0</v>
      </c>
      <c r="V158" s="504">
        <f t="shared" si="62"/>
        <v>1</v>
      </c>
      <c r="W158" s="504">
        <f t="shared" si="59"/>
        <v>0.24599398790693555</v>
      </c>
      <c r="X158" s="504">
        <f t="shared" si="63"/>
        <v>5</v>
      </c>
      <c r="Y158" s="504">
        <v>1</v>
      </c>
      <c r="Z158" s="504">
        <f t="shared" si="46"/>
        <v>0.24599398790693555</v>
      </c>
      <c r="AA158" s="504">
        <f t="shared" si="47"/>
        <v>100</v>
      </c>
      <c r="AB158" s="504">
        <v>4.97</v>
      </c>
      <c r="AC158" s="504">
        <f t="shared" si="52"/>
        <v>99.4</v>
      </c>
      <c r="AD158" s="504"/>
      <c r="AE158" s="508"/>
      <c r="AF158" s="504"/>
      <c r="AG158" s="504"/>
      <c r="AH158" s="504"/>
      <c r="AI158" s="504"/>
      <c r="AJ158" s="504"/>
      <c r="AK158" s="504"/>
      <c r="AL158" s="504"/>
      <c r="AM158" s="504"/>
      <c r="AN158" s="504"/>
      <c r="AO158" s="504"/>
      <c r="AP158" s="504"/>
      <c r="AQ158" s="504"/>
      <c r="AR158" s="505"/>
      <c r="AS158" s="505"/>
      <c r="AT158" s="507"/>
      <c r="AU158" s="693">
        <f>'[2]3rd Trimester Progress(Pradesh '!AB158</f>
        <v>4.97</v>
      </c>
      <c r="AV158" s="693">
        <f t="shared" si="64"/>
        <v>0</v>
      </c>
      <c r="AW158" s="305"/>
      <c r="AX158" s="305"/>
      <c r="AY158" s="305"/>
      <c r="AZ158" s="305"/>
      <c r="BA158" s="305"/>
      <c r="BB158" s="305"/>
      <c r="BC158" s="305"/>
      <c r="BD158" s="305"/>
    </row>
    <row r="159" spans="1:56" s="306" customFormat="1" ht="48">
      <c r="A159" s="527" t="s">
        <v>1133</v>
      </c>
      <c r="B159" s="490" t="s">
        <v>991</v>
      </c>
      <c r="C159" s="534" t="s">
        <v>1174</v>
      </c>
      <c r="D159" s="532"/>
      <c r="E159" s="284"/>
      <c r="F159" s="284"/>
      <c r="G159" s="284"/>
      <c r="H159" s="284"/>
      <c r="I159" s="284"/>
      <c r="J159" s="504">
        <v>1</v>
      </c>
      <c r="K159" s="504">
        <f t="shared" si="56"/>
        <v>0.31585628047250525</v>
      </c>
      <c r="L159" s="506">
        <v>6.42</v>
      </c>
      <c r="M159" s="504">
        <f t="shared" si="65"/>
        <v>6.42</v>
      </c>
      <c r="N159" s="504">
        <v>1</v>
      </c>
      <c r="O159" s="504">
        <f t="shared" si="57"/>
        <v>7.8226088154405501E-2</v>
      </c>
      <c r="P159" s="504">
        <v>1.59</v>
      </c>
      <c r="Q159" s="504">
        <v>0</v>
      </c>
      <c r="R159" s="504">
        <f t="shared" si="60"/>
        <v>0</v>
      </c>
      <c r="S159" s="504">
        <f t="shared" si="61"/>
        <v>0</v>
      </c>
      <c r="T159" s="504">
        <v>0</v>
      </c>
      <c r="U159" s="504">
        <f t="shared" si="58"/>
        <v>0</v>
      </c>
      <c r="V159" s="504">
        <f t="shared" si="62"/>
        <v>1</v>
      </c>
      <c r="W159" s="504">
        <f t="shared" si="59"/>
        <v>0.31585628047250525</v>
      </c>
      <c r="X159" s="504">
        <f t="shared" si="63"/>
        <v>6.42</v>
      </c>
      <c r="Y159" s="504">
        <v>1</v>
      </c>
      <c r="Z159" s="504">
        <f t="shared" si="46"/>
        <v>0.31585628047250525</v>
      </c>
      <c r="AA159" s="504">
        <f t="shared" si="47"/>
        <v>100</v>
      </c>
      <c r="AB159" s="504">
        <v>6.16</v>
      </c>
      <c r="AC159" s="504">
        <f t="shared" ref="AC159:AC163" si="67">IFERROR(AB159/X159*100,0)</f>
        <v>95.950155763239877</v>
      </c>
      <c r="AD159" s="504"/>
      <c r="AE159" s="508"/>
      <c r="AF159" s="504"/>
      <c r="AG159" s="504"/>
      <c r="AH159" s="504"/>
      <c r="AI159" s="504"/>
      <c r="AJ159" s="504"/>
      <c r="AK159" s="504"/>
      <c r="AL159" s="504"/>
      <c r="AM159" s="504"/>
      <c r="AN159" s="504"/>
      <c r="AO159" s="504"/>
      <c r="AP159" s="504"/>
      <c r="AQ159" s="504"/>
      <c r="AR159" s="505"/>
      <c r="AS159" s="505"/>
      <c r="AT159" s="507"/>
      <c r="AU159" s="693">
        <f>'[2]3rd Trimester Progress(Pradesh '!AB159</f>
        <v>6.16</v>
      </c>
      <c r="AV159" s="693">
        <f t="shared" si="64"/>
        <v>0</v>
      </c>
      <c r="AW159" s="305"/>
      <c r="AX159" s="305"/>
      <c r="AY159" s="305"/>
      <c r="AZ159" s="305"/>
      <c r="BA159" s="305"/>
      <c r="BB159" s="305"/>
      <c r="BC159" s="305"/>
      <c r="BD159" s="305"/>
    </row>
    <row r="160" spans="1:56" s="306" customFormat="1" ht="46.5">
      <c r="A160" s="527" t="s">
        <v>1134</v>
      </c>
      <c r="B160" s="490" t="s">
        <v>992</v>
      </c>
      <c r="C160" s="534" t="s">
        <v>1174</v>
      </c>
      <c r="D160" s="532"/>
      <c r="E160" s="284"/>
      <c r="F160" s="284"/>
      <c r="G160" s="284"/>
      <c r="H160" s="284"/>
      <c r="I160" s="284"/>
      <c r="J160" s="504">
        <v>1</v>
      </c>
      <c r="K160" s="504">
        <f t="shared" si="56"/>
        <v>0.27059338669762911</v>
      </c>
      <c r="L160" s="506">
        <v>5.5</v>
      </c>
      <c r="M160" s="504">
        <f t="shared" si="65"/>
        <v>5.5</v>
      </c>
      <c r="N160" s="504">
        <v>1</v>
      </c>
      <c r="O160" s="504">
        <f t="shared" si="57"/>
        <v>6.6910364710686468E-2</v>
      </c>
      <c r="P160" s="504">
        <v>1.36</v>
      </c>
      <c r="Q160" s="504">
        <v>0.5</v>
      </c>
      <c r="R160" s="504">
        <f t="shared" si="60"/>
        <v>3.3455182355343234E-2</v>
      </c>
      <c r="S160" s="504">
        <f t="shared" si="61"/>
        <v>50</v>
      </c>
      <c r="T160" s="504">
        <v>5.8411099999999996</v>
      </c>
      <c r="U160" s="504">
        <f t="shared" si="58"/>
        <v>429.49338235294113</v>
      </c>
      <c r="V160" s="504">
        <f t="shared" si="62"/>
        <v>1</v>
      </c>
      <c r="W160" s="504">
        <f t="shared" si="59"/>
        <v>0.27059338669762911</v>
      </c>
      <c r="X160" s="504">
        <f t="shared" si="63"/>
        <v>5.5</v>
      </c>
      <c r="Y160" s="504">
        <v>1</v>
      </c>
      <c r="Z160" s="504">
        <f t="shared" si="46"/>
        <v>0.27059338669762911</v>
      </c>
      <c r="AA160" s="504">
        <f t="shared" si="47"/>
        <v>100</v>
      </c>
      <c r="AB160" s="504">
        <v>5.8411099999999996</v>
      </c>
      <c r="AC160" s="504">
        <f t="shared" si="67"/>
        <v>106.202</v>
      </c>
      <c r="AD160" s="504"/>
      <c r="AE160" s="508"/>
      <c r="AF160" s="504"/>
      <c r="AG160" s="504"/>
      <c r="AH160" s="504"/>
      <c r="AI160" s="504"/>
      <c r="AJ160" s="504"/>
      <c r="AK160" s="504"/>
      <c r="AL160" s="504"/>
      <c r="AM160" s="504"/>
      <c r="AN160" s="504"/>
      <c r="AO160" s="504"/>
      <c r="AP160" s="504"/>
      <c r="AQ160" s="504"/>
      <c r="AR160" s="505"/>
      <c r="AS160" s="505"/>
      <c r="AT160" s="507"/>
      <c r="AU160" s="693">
        <f>'[2]3rd Trimester Progress(Pradesh '!AB160</f>
        <v>0</v>
      </c>
      <c r="AV160" s="693">
        <f t="shared" si="64"/>
        <v>5.8411099999999996</v>
      </c>
      <c r="AW160" s="305"/>
      <c r="AX160" s="305"/>
      <c r="AY160" s="305"/>
      <c r="AZ160" s="305"/>
      <c r="BA160" s="305"/>
      <c r="BB160" s="305"/>
      <c r="BC160" s="305"/>
      <c r="BD160" s="305"/>
    </row>
    <row r="161" spans="1:56" s="306" customFormat="1" ht="48">
      <c r="A161" s="527" t="s">
        <v>1135</v>
      </c>
      <c r="B161" s="490" t="s">
        <v>993</v>
      </c>
      <c r="C161" s="534" t="s">
        <v>1174</v>
      </c>
      <c r="D161" s="532"/>
      <c r="E161" s="284"/>
      <c r="F161" s="284"/>
      <c r="G161" s="284"/>
      <c r="H161" s="284"/>
      <c r="I161" s="284"/>
      <c r="J161" s="504">
        <v>1</v>
      </c>
      <c r="K161" s="504">
        <f t="shared" si="56"/>
        <v>0.41818977944179042</v>
      </c>
      <c r="L161" s="506">
        <v>8.5</v>
      </c>
      <c r="M161" s="504">
        <f t="shared" si="65"/>
        <v>8.5</v>
      </c>
      <c r="N161" s="504">
        <v>1</v>
      </c>
      <c r="O161" s="504">
        <f t="shared" si="57"/>
        <v>0.10380946289672678</v>
      </c>
      <c r="P161" s="504">
        <v>2.11</v>
      </c>
      <c r="Q161" s="504">
        <v>0</v>
      </c>
      <c r="R161" s="504">
        <f t="shared" si="60"/>
        <v>0</v>
      </c>
      <c r="S161" s="504">
        <f t="shared" si="61"/>
        <v>0</v>
      </c>
      <c r="T161" s="504">
        <v>0.32601000000000013</v>
      </c>
      <c r="U161" s="504">
        <f t="shared" si="58"/>
        <v>15.45071090047394</v>
      </c>
      <c r="V161" s="504">
        <f t="shared" si="62"/>
        <v>1</v>
      </c>
      <c r="W161" s="504">
        <f t="shared" si="59"/>
        <v>0.41818977944179042</v>
      </c>
      <c r="X161" s="504">
        <f t="shared" si="63"/>
        <v>8.5</v>
      </c>
      <c r="Y161" s="504">
        <v>1</v>
      </c>
      <c r="Z161" s="504">
        <f t="shared" si="46"/>
        <v>0.41818977944179042</v>
      </c>
      <c r="AA161" s="504">
        <f t="shared" si="47"/>
        <v>100</v>
      </c>
      <c r="AB161" s="649">
        <v>8.4960100000000001</v>
      </c>
      <c r="AC161" s="504">
        <f t="shared" si="67"/>
        <v>99.953058823529418</v>
      </c>
      <c r="AD161" s="504"/>
      <c r="AE161" s="508"/>
      <c r="AF161" s="504"/>
      <c r="AG161" s="504"/>
      <c r="AH161" s="504"/>
      <c r="AI161" s="504"/>
      <c r="AJ161" s="504"/>
      <c r="AK161" s="504"/>
      <c r="AL161" s="504"/>
      <c r="AM161" s="504"/>
      <c r="AN161" s="504"/>
      <c r="AO161" s="504"/>
      <c r="AP161" s="504"/>
      <c r="AQ161" s="504"/>
      <c r="AR161" s="505"/>
      <c r="AS161" s="505"/>
      <c r="AT161" s="507"/>
      <c r="AU161" s="693">
        <f>'[2]3rd Trimester Progress(Pradesh '!AB161</f>
        <v>8.17</v>
      </c>
      <c r="AV161" s="693">
        <f t="shared" si="64"/>
        <v>0.32601000000000013</v>
      </c>
      <c r="AW161" s="305"/>
      <c r="AX161" s="305"/>
      <c r="AY161" s="305"/>
      <c r="AZ161" s="305"/>
      <c r="BA161" s="305"/>
      <c r="BB161" s="305"/>
      <c r="BC161" s="305"/>
      <c r="BD161" s="305"/>
    </row>
    <row r="162" spans="1:56" s="306" customFormat="1" ht="46.5">
      <c r="A162" s="527" t="s">
        <v>1136</v>
      </c>
      <c r="B162" s="490" t="s">
        <v>994</v>
      </c>
      <c r="C162" s="534" t="s">
        <v>1174</v>
      </c>
      <c r="D162" s="532"/>
      <c r="E162" s="284"/>
      <c r="F162" s="284"/>
      <c r="G162" s="284"/>
      <c r="H162" s="284"/>
      <c r="I162" s="284"/>
      <c r="J162" s="504">
        <v>1</v>
      </c>
      <c r="K162" s="504">
        <f t="shared" si="56"/>
        <v>0.39359038065109686</v>
      </c>
      <c r="L162" s="506">
        <v>8</v>
      </c>
      <c r="M162" s="504">
        <f t="shared" si="65"/>
        <v>8</v>
      </c>
      <c r="N162" s="504">
        <v>1</v>
      </c>
      <c r="O162" s="504">
        <f t="shared" si="57"/>
        <v>9.8397595162774215E-2</v>
      </c>
      <c r="P162" s="504">
        <v>2</v>
      </c>
      <c r="Q162" s="504">
        <v>1</v>
      </c>
      <c r="R162" s="504">
        <f t="shared" si="60"/>
        <v>9.8397595162774215E-2</v>
      </c>
      <c r="S162" s="504">
        <f t="shared" si="61"/>
        <v>100</v>
      </c>
      <c r="T162" s="504">
        <v>4.7201300000000002</v>
      </c>
      <c r="U162" s="504">
        <f t="shared" si="58"/>
        <v>236.00650000000002</v>
      </c>
      <c r="V162" s="504">
        <f t="shared" si="62"/>
        <v>1</v>
      </c>
      <c r="W162" s="504">
        <f t="shared" si="59"/>
        <v>0.39359038065109686</v>
      </c>
      <c r="X162" s="504">
        <f t="shared" si="63"/>
        <v>8</v>
      </c>
      <c r="Y162" s="504">
        <v>1</v>
      </c>
      <c r="Z162" s="504">
        <f t="shared" si="46"/>
        <v>0.39359038065109686</v>
      </c>
      <c r="AA162" s="504">
        <f t="shared" si="47"/>
        <v>100</v>
      </c>
      <c r="AB162" s="504">
        <v>7.6701300000000003</v>
      </c>
      <c r="AC162" s="504">
        <f t="shared" si="67"/>
        <v>95.876625000000004</v>
      </c>
      <c r="AD162" s="504"/>
      <c r="AE162" s="508"/>
      <c r="AF162" s="504"/>
      <c r="AG162" s="504"/>
      <c r="AH162" s="504"/>
      <c r="AI162" s="504"/>
      <c r="AJ162" s="504"/>
      <c r="AK162" s="504"/>
      <c r="AL162" s="504"/>
      <c r="AM162" s="504"/>
      <c r="AN162" s="504"/>
      <c r="AO162" s="504"/>
      <c r="AP162" s="504"/>
      <c r="AQ162" s="504"/>
      <c r="AR162" s="505"/>
      <c r="AS162" s="505"/>
      <c r="AT162" s="507"/>
      <c r="AU162" s="693">
        <f>'[2]3rd Trimester Progress(Pradesh '!AB162</f>
        <v>2.95</v>
      </c>
      <c r="AV162" s="693">
        <f t="shared" si="64"/>
        <v>4.7201300000000002</v>
      </c>
      <c r="AW162" s="305"/>
      <c r="AX162" s="305"/>
      <c r="AY162" s="305"/>
      <c r="AZ162" s="305"/>
      <c r="BA162" s="305"/>
      <c r="BB162" s="305"/>
      <c r="BC162" s="305"/>
      <c r="BD162" s="305"/>
    </row>
    <row r="163" spans="1:56" s="306" customFormat="1" ht="48">
      <c r="A163" s="527" t="s">
        <v>1137</v>
      </c>
      <c r="B163" s="490" t="s">
        <v>995</v>
      </c>
      <c r="C163" s="534" t="s">
        <v>1174</v>
      </c>
      <c r="D163" s="532"/>
      <c r="E163" s="284"/>
      <c r="F163" s="284"/>
      <c r="G163" s="284"/>
      <c r="H163" s="284"/>
      <c r="I163" s="284"/>
      <c r="J163" s="504">
        <v>1</v>
      </c>
      <c r="K163" s="504">
        <f t="shared" si="56"/>
        <v>0.71338256493011298</v>
      </c>
      <c r="L163" s="506">
        <v>14.5</v>
      </c>
      <c r="M163" s="504">
        <f t="shared" si="65"/>
        <v>14.5</v>
      </c>
      <c r="N163" s="504">
        <v>1</v>
      </c>
      <c r="O163" s="504">
        <f t="shared" si="57"/>
        <v>0.17760765926880745</v>
      </c>
      <c r="P163" s="504">
        <v>3.61</v>
      </c>
      <c r="Q163" s="504">
        <v>0</v>
      </c>
      <c r="R163" s="504">
        <f t="shared" si="60"/>
        <v>0</v>
      </c>
      <c r="S163" s="504">
        <f t="shared" si="61"/>
        <v>0</v>
      </c>
      <c r="T163" s="504">
        <v>0.49680000000000035</v>
      </c>
      <c r="U163" s="504">
        <f t="shared" si="58"/>
        <v>13.761772853185605</v>
      </c>
      <c r="V163" s="504">
        <f t="shared" si="62"/>
        <v>1</v>
      </c>
      <c r="W163" s="504">
        <f t="shared" si="59"/>
        <v>0.71338256493011298</v>
      </c>
      <c r="X163" s="504">
        <f t="shared" si="63"/>
        <v>14.5</v>
      </c>
      <c r="Y163" s="504">
        <v>1</v>
      </c>
      <c r="Z163" s="504">
        <f t="shared" si="46"/>
        <v>0.71338256493011298</v>
      </c>
      <c r="AA163" s="504">
        <f t="shared" si="47"/>
        <v>100</v>
      </c>
      <c r="AB163" s="504">
        <v>14.4168</v>
      </c>
      <c r="AC163" s="504">
        <f t="shared" si="67"/>
        <v>99.426206896551733</v>
      </c>
      <c r="AD163" s="504"/>
      <c r="AE163" s="508"/>
      <c r="AF163" s="504"/>
      <c r="AG163" s="504"/>
      <c r="AH163" s="504"/>
      <c r="AI163" s="504"/>
      <c r="AJ163" s="504"/>
      <c r="AK163" s="504"/>
      <c r="AL163" s="504"/>
      <c r="AM163" s="504"/>
      <c r="AN163" s="504"/>
      <c r="AO163" s="504"/>
      <c r="AP163" s="504"/>
      <c r="AQ163" s="504"/>
      <c r="AR163" s="505"/>
      <c r="AS163" s="505"/>
      <c r="AT163" s="507"/>
      <c r="AU163" s="693">
        <f>'[2]3rd Trimester Progress(Pradesh '!AB163</f>
        <v>13.92</v>
      </c>
      <c r="AV163" s="693">
        <f t="shared" si="64"/>
        <v>0.49680000000000035</v>
      </c>
      <c r="AW163" s="305"/>
      <c r="AX163" s="305"/>
      <c r="AY163" s="305"/>
      <c r="AZ163" s="305"/>
      <c r="BA163" s="305"/>
      <c r="BB163" s="305"/>
      <c r="BC163" s="305"/>
      <c r="BD163" s="305"/>
    </row>
    <row r="164" spans="1:56" s="453" customFormat="1" ht="29.45" customHeight="1">
      <c r="A164" s="661" t="s">
        <v>826</v>
      </c>
      <c r="B164" s="662"/>
      <c r="C164" s="663"/>
      <c r="D164" s="454"/>
      <c r="E164" s="454"/>
      <c r="F164" s="454"/>
      <c r="G164" s="454"/>
      <c r="H164" s="454"/>
      <c r="I164" s="454"/>
      <c r="J164" s="512"/>
      <c r="K164" s="510">
        <f>SUM(K23:K163)</f>
        <v>92.041110515259049</v>
      </c>
      <c r="L164" s="510">
        <f>SUM(L23:L163)</f>
        <v>1870.8000000000002</v>
      </c>
      <c r="M164" s="510">
        <f>SUM(M23:M163)</f>
        <v>1870.8000000000002</v>
      </c>
      <c r="N164" s="510"/>
      <c r="O164" s="510">
        <f>SUM(O23:O163)</f>
        <v>39.153879079195264</v>
      </c>
      <c r="P164" s="510">
        <f>SUM(P23:P163)</f>
        <v>795.83</v>
      </c>
      <c r="Q164" s="511"/>
      <c r="R164" s="510">
        <f>SUM(R23:R163)</f>
        <v>25.117732722612253</v>
      </c>
      <c r="S164" s="510">
        <f>R164/O164*100</f>
        <v>64.151326288277701</v>
      </c>
      <c r="T164" s="510">
        <f>SUM(T23:T163)</f>
        <v>891.89641999999992</v>
      </c>
      <c r="U164" s="510">
        <f>T164/P164%</f>
        <v>112.07122375381675</v>
      </c>
      <c r="V164" s="510"/>
      <c r="W164" s="510">
        <f>SUM(W23:W163)</f>
        <v>92.041110515259049</v>
      </c>
      <c r="X164" s="510">
        <f>SUM(X23:X163)</f>
        <v>1870.8000000000002</v>
      </c>
      <c r="Y164" s="511"/>
      <c r="Z164" s="510">
        <f>SUM(Z23:Z163)</f>
        <v>89.458173642236218</v>
      </c>
      <c r="AA164" s="510">
        <f>Z164/W164*100</f>
        <v>97.193713919178961</v>
      </c>
      <c r="AB164" s="510">
        <f>SUM(AB23:AB163)</f>
        <v>1778.9513099999999</v>
      </c>
      <c r="AC164" s="510">
        <f>AB164/X164%</f>
        <v>95.090405708787671</v>
      </c>
      <c r="AD164" s="512"/>
      <c r="AE164" s="513"/>
      <c r="AF164" s="512"/>
      <c r="AG164" s="512"/>
      <c r="AH164" s="512"/>
      <c r="AI164" s="512"/>
      <c r="AJ164" s="512"/>
      <c r="AK164" s="512"/>
      <c r="AL164" s="512"/>
      <c r="AM164" s="512"/>
      <c r="AN164" s="512"/>
      <c r="AO164" s="512"/>
      <c r="AP164" s="512"/>
      <c r="AQ164" s="512"/>
      <c r="AR164" s="509"/>
      <c r="AS164" s="509"/>
      <c r="AT164" s="513"/>
      <c r="AU164" s="696">
        <f>SUM(AU23:AU163)</f>
        <v>887.05489000000023</v>
      </c>
      <c r="AV164" s="696">
        <f>SUM(AV23:AV163)</f>
        <v>891.89641999999992</v>
      </c>
      <c r="AW164" s="452"/>
      <c r="AX164" s="452"/>
      <c r="AY164" s="452"/>
      <c r="AZ164" s="452"/>
      <c r="BA164" s="452"/>
      <c r="BB164" s="452"/>
      <c r="BC164" s="452"/>
      <c r="BD164" s="452"/>
    </row>
    <row r="165" spans="1:56" s="306" customFormat="1" ht="24">
      <c r="A165" s="664"/>
      <c r="B165" s="665" t="s">
        <v>827</v>
      </c>
      <c r="C165" s="665"/>
      <c r="D165" s="665"/>
      <c r="E165" s="284"/>
      <c r="F165" s="284"/>
      <c r="G165" s="284"/>
      <c r="H165" s="284"/>
      <c r="I165" s="284"/>
      <c r="J165" s="504"/>
      <c r="K165" s="504"/>
      <c r="L165" s="506"/>
      <c r="M165" s="506"/>
      <c r="N165" s="504"/>
      <c r="O165" s="504"/>
      <c r="P165" s="504"/>
      <c r="Q165" s="505"/>
      <c r="R165" s="504"/>
      <c r="S165" s="505"/>
      <c r="T165" s="505"/>
      <c r="U165" s="504"/>
      <c r="V165" s="504"/>
      <c r="W165" s="504"/>
      <c r="X165" s="504"/>
      <c r="Y165" s="505"/>
      <c r="Z165" s="504"/>
      <c r="AA165" s="505"/>
      <c r="AB165" s="505"/>
      <c r="AC165" s="504"/>
      <c r="AD165" s="504"/>
      <c r="AE165" s="508"/>
      <c r="AF165" s="504"/>
      <c r="AG165" s="504"/>
      <c r="AH165" s="504"/>
      <c r="AI165" s="504"/>
      <c r="AJ165" s="504"/>
      <c r="AK165" s="504"/>
      <c r="AL165" s="504"/>
      <c r="AM165" s="504"/>
      <c r="AN165" s="504"/>
      <c r="AO165" s="504"/>
      <c r="AP165" s="504"/>
      <c r="AQ165" s="504"/>
      <c r="AR165" s="505"/>
      <c r="AS165" s="505"/>
      <c r="AT165" s="507"/>
      <c r="AU165" s="526"/>
      <c r="AV165" s="693"/>
      <c r="AW165" s="305"/>
      <c r="AX165" s="305"/>
      <c r="AY165" s="305"/>
      <c r="AZ165" s="305"/>
      <c r="BA165" s="305"/>
      <c r="BB165" s="305"/>
      <c r="BC165" s="305"/>
      <c r="BD165" s="305"/>
    </row>
    <row r="166" spans="1:56" s="306" customFormat="1" ht="24">
      <c r="A166" s="433" t="s">
        <v>1139</v>
      </c>
      <c r="B166" s="697" t="s">
        <v>828</v>
      </c>
      <c r="C166" s="666" t="s">
        <v>858</v>
      </c>
      <c r="D166" s="284"/>
      <c r="E166" s="284"/>
      <c r="F166" s="284"/>
      <c r="G166" s="284"/>
      <c r="H166" s="284"/>
      <c r="I166" s="284"/>
      <c r="J166" s="504">
        <v>1</v>
      </c>
      <c r="K166" s="504">
        <f t="shared" ref="K166:K196" si="68">(L166/$L$198)*100</f>
        <v>0.49543189164456813</v>
      </c>
      <c r="L166" s="506">
        <v>10.07</v>
      </c>
      <c r="M166" s="506">
        <f>L166</f>
        <v>10.07</v>
      </c>
      <c r="N166" s="504">
        <v>1</v>
      </c>
      <c r="O166" s="504">
        <f t="shared" ref="O166:O196" si="69">P166/$L$198*100</f>
        <v>0.12840886168742036</v>
      </c>
      <c r="P166" s="504">
        <v>2.61</v>
      </c>
      <c r="Q166" s="504">
        <v>0.18999999999999995</v>
      </c>
      <c r="R166" s="649">
        <f t="shared" ref="R166:R196" si="70">IF(N166=0,Q166/J166*K166,Q166/N166*O166)</f>
        <v>2.439768372060986E-2</v>
      </c>
      <c r="S166" s="504">
        <f>ROUND(IF(O166=0,R166/K166*100,R166/O166*100),2)</f>
        <v>19</v>
      </c>
      <c r="T166" s="504">
        <v>2.2580599999999995</v>
      </c>
      <c r="U166" s="504">
        <f t="shared" ref="U166:U196" si="71">IFERROR(T166/P166*100,0)</f>
        <v>86.515708812260513</v>
      </c>
      <c r="V166" s="504">
        <f t="shared" ref="V166:V196" si="72">J166</f>
        <v>1</v>
      </c>
      <c r="W166" s="504">
        <f t="shared" ref="W166:W196" si="73">X166/$L$198*100</f>
        <v>0.49543189164456813</v>
      </c>
      <c r="X166" s="504">
        <f>M166</f>
        <v>10.07</v>
      </c>
      <c r="Y166" s="504">
        <f>ROUNDUP(AC166*J166/100,2)</f>
        <v>1</v>
      </c>
      <c r="Z166" s="504">
        <f>Y166/J166*K166</f>
        <v>0.49543189164456813</v>
      </c>
      <c r="AA166" s="504">
        <f t="shared" ref="AA166:AA196" si="74">ROUND(IF(W166=0,Z166/K166*100,Z166/W166*100),2)</f>
        <v>100</v>
      </c>
      <c r="AB166" s="504">
        <v>10.04806</v>
      </c>
      <c r="AC166" s="504">
        <f>IFERROR(AB166/M166*100,0)</f>
        <v>99.78212512413107</v>
      </c>
      <c r="AD166" s="504"/>
      <c r="AE166" s="508"/>
      <c r="AF166" s="504"/>
      <c r="AG166" s="504"/>
      <c r="AH166" s="504"/>
      <c r="AI166" s="504"/>
      <c r="AJ166" s="504"/>
      <c r="AK166" s="504"/>
      <c r="AL166" s="504"/>
      <c r="AM166" s="504"/>
      <c r="AN166" s="504"/>
      <c r="AO166" s="504"/>
      <c r="AP166" s="504"/>
      <c r="AQ166" s="504"/>
      <c r="AR166" s="505"/>
      <c r="AS166" s="505"/>
      <c r="AT166" s="507"/>
      <c r="AU166" s="693">
        <f>'[2]3rd Trimester Progress(Pradesh '!AB166</f>
        <v>7.79</v>
      </c>
      <c r="AV166" s="693">
        <f>AB166-AU166</f>
        <v>2.2580599999999995</v>
      </c>
      <c r="AW166" s="305"/>
      <c r="AX166" s="698">
        <f>'[2]3rd Trimester Progress(Pradesh '!Q166</f>
        <v>0.81</v>
      </c>
      <c r="AY166" s="698">
        <f>Y166-AX166</f>
        <v>0.18999999999999995</v>
      </c>
      <c r="AZ166" s="698"/>
      <c r="BA166" s="305"/>
      <c r="BB166" s="305"/>
      <c r="BC166" s="305"/>
      <c r="BD166" s="305"/>
    </row>
    <row r="167" spans="1:56" s="306" customFormat="1" ht="24">
      <c r="A167" s="433" t="s">
        <v>843</v>
      </c>
      <c r="B167" s="697" t="s">
        <v>1238</v>
      </c>
      <c r="C167" s="666" t="s">
        <v>1177</v>
      </c>
      <c r="D167" s="284"/>
      <c r="E167" s="284"/>
      <c r="F167" s="284"/>
      <c r="G167" s="284"/>
      <c r="H167" s="284"/>
      <c r="I167" s="284"/>
      <c r="J167" s="504">
        <v>1</v>
      </c>
      <c r="K167" s="504">
        <f t="shared" si="68"/>
        <v>1.7711567129299357E-2</v>
      </c>
      <c r="L167" s="506">
        <v>0.36</v>
      </c>
      <c r="M167" s="506">
        <f t="shared" ref="M167:M196" si="75">L167</f>
        <v>0.36</v>
      </c>
      <c r="N167" s="504">
        <v>1</v>
      </c>
      <c r="O167" s="504">
        <f t="shared" si="69"/>
        <v>4.4278917823248392E-3</v>
      </c>
      <c r="P167" s="504">
        <v>0.09</v>
      </c>
      <c r="Q167" s="504">
        <v>0.30000000000000004</v>
      </c>
      <c r="R167" s="649">
        <f t="shared" si="70"/>
        <v>1.3283675346974519E-3</v>
      </c>
      <c r="S167" s="504">
        <f t="shared" ref="S167:S196" si="76">ROUND(IF(O167=0,R167/K167*100,R167/O167*100),2)</f>
        <v>30</v>
      </c>
      <c r="T167" s="504">
        <v>0.10965000000000003</v>
      </c>
      <c r="U167" s="504">
        <f t="shared" si="71"/>
        <v>121.83333333333337</v>
      </c>
      <c r="V167" s="504">
        <f t="shared" si="72"/>
        <v>1</v>
      </c>
      <c r="W167" s="504">
        <f t="shared" si="73"/>
        <v>1.7711567129299357E-2</v>
      </c>
      <c r="X167" s="504">
        <f t="shared" ref="X167:X196" si="77">M167</f>
        <v>0.36</v>
      </c>
      <c r="Y167" s="504">
        <f t="shared" ref="Y167:Y196" si="78">ROUNDUP(AC167*J167/100,2)</f>
        <v>1</v>
      </c>
      <c r="Z167" s="504">
        <f t="shared" ref="Z167:Z196" si="79">Y167/J167*K167</f>
        <v>1.7711567129299357E-2</v>
      </c>
      <c r="AA167" s="504">
        <f t="shared" si="74"/>
        <v>100</v>
      </c>
      <c r="AB167" s="699">
        <v>0.35965000000000003</v>
      </c>
      <c r="AC167" s="504">
        <f t="shared" ref="AC167:AC196" si="80">IFERROR(AB167/M167*100,0)</f>
        <v>99.902777777777786</v>
      </c>
      <c r="AD167" s="504"/>
      <c r="AE167" s="508"/>
      <c r="AF167" s="504"/>
      <c r="AG167" s="504"/>
      <c r="AH167" s="504"/>
      <c r="AI167" s="504"/>
      <c r="AJ167" s="504"/>
      <c r="AK167" s="504"/>
      <c r="AL167" s="504"/>
      <c r="AM167" s="504"/>
      <c r="AN167" s="504"/>
      <c r="AO167" s="504"/>
      <c r="AP167" s="504"/>
      <c r="AQ167" s="504"/>
      <c r="AR167" s="505"/>
      <c r="AS167" s="505"/>
      <c r="AT167" s="507"/>
      <c r="AU167" s="693">
        <f>'[2]3rd Trimester Progress(Pradesh '!AB167</f>
        <v>0.25</v>
      </c>
      <c r="AV167" s="693">
        <f t="shared" ref="AV167:AV196" si="81">AB167-AU167</f>
        <v>0.10965000000000003</v>
      </c>
      <c r="AW167" s="305"/>
      <c r="AX167" s="698">
        <f>'[2]3rd Trimester Progress(Pradesh '!Q167</f>
        <v>0.7</v>
      </c>
      <c r="AY167" s="698">
        <f t="shared" ref="AY167:AY196" si="82">Y167-AX167</f>
        <v>0.30000000000000004</v>
      </c>
      <c r="AZ167" s="305"/>
      <c r="BA167" s="305"/>
      <c r="BB167" s="305"/>
      <c r="BC167" s="305"/>
      <c r="BD167" s="305"/>
    </row>
    <row r="168" spans="1:56" s="306" customFormat="1" ht="24">
      <c r="A168" s="433" t="s">
        <v>1141</v>
      </c>
      <c r="B168" s="697" t="s">
        <v>1140</v>
      </c>
      <c r="C168" s="666" t="s">
        <v>858</v>
      </c>
      <c r="D168" s="284"/>
      <c r="E168" s="284"/>
      <c r="F168" s="284"/>
      <c r="G168" s="284"/>
      <c r="H168" s="284"/>
      <c r="I168" s="284"/>
      <c r="J168" s="504">
        <v>1</v>
      </c>
      <c r="K168" s="504">
        <f t="shared" si="68"/>
        <v>0.46788056499899139</v>
      </c>
      <c r="L168" s="506">
        <v>9.51</v>
      </c>
      <c r="M168" s="506">
        <f t="shared" si="75"/>
        <v>9.51</v>
      </c>
      <c r="N168" s="504">
        <v>1</v>
      </c>
      <c r="O168" s="504">
        <f t="shared" si="69"/>
        <v>0.12053705407439842</v>
      </c>
      <c r="P168" s="504">
        <v>2.4500000000000002</v>
      </c>
      <c r="Q168" s="504">
        <v>0.18999999999999995</v>
      </c>
      <c r="R168" s="649">
        <f t="shared" si="70"/>
        <v>2.2902040274135695E-2</v>
      </c>
      <c r="S168" s="504">
        <f t="shared" si="76"/>
        <v>19</v>
      </c>
      <c r="T168" s="504">
        <v>2.0947699999999996</v>
      </c>
      <c r="U168" s="504">
        <f t="shared" si="71"/>
        <v>85.500816326530597</v>
      </c>
      <c r="V168" s="504">
        <f t="shared" si="72"/>
        <v>1</v>
      </c>
      <c r="W168" s="504">
        <f t="shared" si="73"/>
        <v>0.46788056499899139</v>
      </c>
      <c r="X168" s="504">
        <f t="shared" si="77"/>
        <v>9.51</v>
      </c>
      <c r="Y168" s="504">
        <f t="shared" si="78"/>
        <v>1</v>
      </c>
      <c r="Z168" s="504">
        <f t="shared" si="79"/>
        <v>0.46788056499899139</v>
      </c>
      <c r="AA168" s="504">
        <f t="shared" si="74"/>
        <v>100</v>
      </c>
      <c r="AB168" s="504">
        <v>9.4847699999999993</v>
      </c>
      <c r="AC168" s="504">
        <f t="shared" si="80"/>
        <v>99.734700315457403</v>
      </c>
      <c r="AD168" s="504"/>
      <c r="AE168" s="508"/>
      <c r="AF168" s="504"/>
      <c r="AG168" s="504"/>
      <c r="AH168" s="504"/>
      <c r="AI168" s="504"/>
      <c r="AJ168" s="504"/>
      <c r="AK168" s="504"/>
      <c r="AL168" s="504"/>
      <c r="AM168" s="504"/>
      <c r="AN168" s="504"/>
      <c r="AO168" s="504"/>
      <c r="AP168" s="504"/>
      <c r="AQ168" s="504"/>
      <c r="AR168" s="505"/>
      <c r="AS168" s="505"/>
      <c r="AT168" s="507"/>
      <c r="AU168" s="693">
        <f>'[2]3rd Trimester Progress(Pradesh '!AB168</f>
        <v>7.39</v>
      </c>
      <c r="AV168" s="693">
        <f t="shared" si="81"/>
        <v>2.0947699999999996</v>
      </c>
      <c r="AW168" s="305"/>
      <c r="AX168" s="698">
        <f>'[2]3rd Trimester Progress(Pradesh '!Q168</f>
        <v>0.81</v>
      </c>
      <c r="AY168" s="698">
        <f t="shared" si="82"/>
        <v>0.18999999999999995</v>
      </c>
      <c r="AZ168" s="305"/>
      <c r="BA168" s="305"/>
      <c r="BB168" s="305"/>
      <c r="BC168" s="305"/>
      <c r="BD168" s="305"/>
    </row>
    <row r="169" spans="1:56" s="306" customFormat="1" ht="24">
      <c r="A169" s="433" t="s">
        <v>829</v>
      </c>
      <c r="B169" s="697" t="s">
        <v>830</v>
      </c>
      <c r="C169" s="666" t="s">
        <v>858</v>
      </c>
      <c r="D169" s="284"/>
      <c r="E169" s="284"/>
      <c r="F169" s="284"/>
      <c r="G169" s="284"/>
      <c r="H169" s="284"/>
      <c r="I169" s="284"/>
      <c r="J169" s="504">
        <v>1</v>
      </c>
      <c r="K169" s="504">
        <f t="shared" si="68"/>
        <v>1.0902453544035382</v>
      </c>
      <c r="L169" s="506">
        <v>22.16</v>
      </c>
      <c r="M169" s="506">
        <f t="shared" si="75"/>
        <v>22.16</v>
      </c>
      <c r="N169" s="504">
        <v>1</v>
      </c>
      <c r="O169" s="504">
        <f t="shared" si="69"/>
        <v>0.27256133860088455</v>
      </c>
      <c r="P169" s="504">
        <v>5.54</v>
      </c>
      <c r="Q169" s="504">
        <v>0.47</v>
      </c>
      <c r="R169" s="649">
        <f t="shared" si="70"/>
        <v>0.12810382914241572</v>
      </c>
      <c r="S169" s="504">
        <f t="shared" si="76"/>
        <v>47</v>
      </c>
      <c r="T169" s="504">
        <v>8.2817799999999995</v>
      </c>
      <c r="U169" s="504">
        <f t="shared" si="71"/>
        <v>149.49061371841154</v>
      </c>
      <c r="V169" s="504">
        <f t="shared" si="72"/>
        <v>1</v>
      </c>
      <c r="W169" s="504">
        <f t="shared" si="73"/>
        <v>1.0902453544035382</v>
      </c>
      <c r="X169" s="504">
        <f t="shared" si="77"/>
        <v>22.16</v>
      </c>
      <c r="Y169" s="504">
        <f t="shared" si="78"/>
        <v>1</v>
      </c>
      <c r="Z169" s="504">
        <f t="shared" si="79"/>
        <v>1.0902453544035382</v>
      </c>
      <c r="AA169" s="504">
        <f t="shared" si="74"/>
        <v>100</v>
      </c>
      <c r="AB169" s="504">
        <v>22.151779999999999</v>
      </c>
      <c r="AC169" s="504">
        <f t="shared" si="80"/>
        <v>99.962906137184106</v>
      </c>
      <c r="AD169" s="504"/>
      <c r="AE169" s="508"/>
      <c r="AF169" s="504"/>
      <c r="AG169" s="504"/>
      <c r="AH169" s="504"/>
      <c r="AI169" s="504"/>
      <c r="AJ169" s="504"/>
      <c r="AK169" s="504"/>
      <c r="AL169" s="504"/>
      <c r="AM169" s="504"/>
      <c r="AN169" s="504"/>
      <c r="AO169" s="504"/>
      <c r="AP169" s="504"/>
      <c r="AQ169" s="504"/>
      <c r="AR169" s="505"/>
      <c r="AS169" s="505"/>
      <c r="AT169" s="507"/>
      <c r="AU169" s="693">
        <f>'[2]3rd Trimester Progress(Pradesh '!AB169</f>
        <v>13.87</v>
      </c>
      <c r="AV169" s="693">
        <f t="shared" si="81"/>
        <v>8.2817799999999995</v>
      </c>
      <c r="AW169" s="305"/>
      <c r="AX169" s="698">
        <f>'[2]3rd Trimester Progress(Pradesh '!Q169</f>
        <v>0.53</v>
      </c>
      <c r="AY169" s="698">
        <f t="shared" si="82"/>
        <v>0.47</v>
      </c>
      <c r="AZ169" s="305"/>
      <c r="BA169" s="305"/>
      <c r="BB169" s="305"/>
      <c r="BC169" s="305"/>
      <c r="BD169" s="305"/>
    </row>
    <row r="170" spans="1:56" s="306" customFormat="1" ht="24">
      <c r="A170" s="433" t="s">
        <v>831</v>
      </c>
      <c r="B170" s="697" t="s">
        <v>832</v>
      </c>
      <c r="C170" s="666" t="s">
        <v>858</v>
      </c>
      <c r="D170" s="284"/>
      <c r="E170" s="284"/>
      <c r="F170" s="284"/>
      <c r="G170" s="284"/>
      <c r="H170" s="284"/>
      <c r="I170" s="284"/>
      <c r="J170" s="504">
        <v>1</v>
      </c>
      <c r="K170" s="504">
        <f t="shared" si="68"/>
        <v>1.1355082481784142</v>
      </c>
      <c r="L170" s="506">
        <v>23.08</v>
      </c>
      <c r="M170" s="506">
        <f t="shared" si="75"/>
        <v>23.08</v>
      </c>
      <c r="N170" s="504">
        <v>1</v>
      </c>
      <c r="O170" s="504">
        <f t="shared" si="69"/>
        <v>0.28387706204460356</v>
      </c>
      <c r="P170" s="504">
        <v>5.77</v>
      </c>
      <c r="Q170" s="504">
        <v>0.21999999999999997</v>
      </c>
      <c r="R170" s="649">
        <f t="shared" si="70"/>
        <v>6.2452953649812772E-2</v>
      </c>
      <c r="S170" s="504">
        <f t="shared" si="76"/>
        <v>22</v>
      </c>
      <c r="T170" s="504">
        <v>3.8320399999999992</v>
      </c>
      <c r="U170" s="504">
        <f t="shared" si="71"/>
        <v>66.413171577123038</v>
      </c>
      <c r="V170" s="504">
        <f>J170</f>
        <v>1</v>
      </c>
      <c r="W170" s="504">
        <f t="shared" si="73"/>
        <v>1.1355082481784142</v>
      </c>
      <c r="X170" s="504">
        <f t="shared" si="77"/>
        <v>23.08</v>
      </c>
      <c r="Y170" s="504">
        <f t="shared" si="78"/>
        <v>1</v>
      </c>
      <c r="Z170" s="504">
        <f t="shared" si="79"/>
        <v>1.1355082481784142</v>
      </c>
      <c r="AA170" s="504">
        <f>ROUND(IF(W170=0,Z170/K170*100,Z170/W170*100),2)</f>
        <v>100</v>
      </c>
      <c r="AB170" s="504">
        <v>22.872039999999998</v>
      </c>
      <c r="AC170" s="504">
        <f t="shared" si="80"/>
        <v>99.098960138648181</v>
      </c>
      <c r="AD170" s="504"/>
      <c r="AE170" s="508"/>
      <c r="AF170" s="504"/>
      <c r="AG170" s="504"/>
      <c r="AH170" s="504"/>
      <c r="AI170" s="504"/>
      <c r="AJ170" s="504"/>
      <c r="AK170" s="504"/>
      <c r="AL170" s="504"/>
      <c r="AM170" s="504"/>
      <c r="AN170" s="504"/>
      <c r="AO170" s="504"/>
      <c r="AP170" s="504"/>
      <c r="AQ170" s="504"/>
      <c r="AR170" s="505"/>
      <c r="AS170" s="505"/>
      <c r="AT170" s="507"/>
      <c r="AU170" s="693">
        <f>'[2]3rd Trimester Progress(Pradesh '!AB170</f>
        <v>19.04</v>
      </c>
      <c r="AV170" s="693">
        <f t="shared" si="81"/>
        <v>3.8320399999999992</v>
      </c>
      <c r="AW170" s="305"/>
      <c r="AX170" s="698">
        <f>'[2]3rd Trimester Progress(Pradesh '!Q170</f>
        <v>0.78</v>
      </c>
      <c r="AY170" s="698">
        <f t="shared" si="82"/>
        <v>0.21999999999999997</v>
      </c>
      <c r="AZ170" s="305"/>
      <c r="BA170" s="305"/>
      <c r="BB170" s="305"/>
      <c r="BC170" s="305"/>
      <c r="BD170" s="305"/>
    </row>
    <row r="171" spans="1:56" s="306" customFormat="1" ht="24">
      <c r="A171" s="433" t="s">
        <v>833</v>
      </c>
      <c r="B171" s="697" t="s">
        <v>834</v>
      </c>
      <c r="C171" s="666" t="s">
        <v>858</v>
      </c>
      <c r="D171" s="284"/>
      <c r="E171" s="284"/>
      <c r="F171" s="284"/>
      <c r="G171" s="284"/>
      <c r="H171" s="284"/>
      <c r="I171" s="284"/>
      <c r="J171" s="504">
        <v>1</v>
      </c>
      <c r="K171" s="504">
        <f t="shared" si="68"/>
        <v>1.6648873101541399</v>
      </c>
      <c r="L171" s="506">
        <v>33.840000000000003</v>
      </c>
      <c r="M171" s="506">
        <f t="shared" si="75"/>
        <v>33.840000000000003</v>
      </c>
      <c r="N171" s="504">
        <v>1</v>
      </c>
      <c r="O171" s="504">
        <f t="shared" si="69"/>
        <v>0.41622182753853498</v>
      </c>
      <c r="P171" s="504">
        <v>8.4600000000000009</v>
      </c>
      <c r="Q171" s="504">
        <v>0.18999999999999995</v>
      </c>
      <c r="R171" s="649">
        <f t="shared" si="70"/>
        <v>7.9082147232321626E-2</v>
      </c>
      <c r="S171" s="504">
        <f t="shared" si="76"/>
        <v>19</v>
      </c>
      <c r="T171" s="504">
        <v>5.8538800000000002</v>
      </c>
      <c r="U171" s="504">
        <f t="shared" si="71"/>
        <v>69.194799054373519</v>
      </c>
      <c r="V171" s="504">
        <f t="shared" si="72"/>
        <v>1</v>
      </c>
      <c r="W171" s="504">
        <f t="shared" si="73"/>
        <v>1.6648873101541399</v>
      </c>
      <c r="X171" s="504">
        <f t="shared" si="77"/>
        <v>33.840000000000003</v>
      </c>
      <c r="Y171" s="504">
        <f t="shared" si="78"/>
        <v>1</v>
      </c>
      <c r="Z171" s="504">
        <f t="shared" si="79"/>
        <v>1.6648873101541399</v>
      </c>
      <c r="AA171" s="504">
        <f t="shared" si="74"/>
        <v>100</v>
      </c>
      <c r="AB171" s="504">
        <v>33.833880000000001</v>
      </c>
      <c r="AC171" s="504">
        <f t="shared" si="80"/>
        <v>99.981914893617002</v>
      </c>
      <c r="AD171" s="504"/>
      <c r="AE171" s="508"/>
      <c r="AF171" s="504"/>
      <c r="AG171" s="504"/>
      <c r="AH171" s="504"/>
      <c r="AI171" s="504"/>
      <c r="AJ171" s="504"/>
      <c r="AK171" s="504"/>
      <c r="AL171" s="504"/>
      <c r="AM171" s="504"/>
      <c r="AN171" s="504"/>
      <c r="AO171" s="504"/>
      <c r="AP171" s="504"/>
      <c r="AQ171" s="504"/>
      <c r="AR171" s="505"/>
      <c r="AS171" s="505"/>
      <c r="AT171" s="507"/>
      <c r="AU171" s="693">
        <f>'[2]3rd Trimester Progress(Pradesh '!AB171</f>
        <v>27.98</v>
      </c>
      <c r="AV171" s="693">
        <f t="shared" si="81"/>
        <v>5.8538800000000002</v>
      </c>
      <c r="AW171" s="305"/>
      <c r="AX171" s="698">
        <f>'[2]3rd Trimester Progress(Pradesh '!Q171</f>
        <v>0.81</v>
      </c>
      <c r="AY171" s="698">
        <f t="shared" si="82"/>
        <v>0.18999999999999995</v>
      </c>
      <c r="AZ171" s="305"/>
      <c r="BA171" s="305"/>
      <c r="BB171" s="305"/>
      <c r="BC171" s="305"/>
      <c r="BD171" s="305"/>
    </row>
    <row r="172" spans="1:56" s="306" customFormat="1" ht="24" hidden="1">
      <c r="A172" s="433" t="s">
        <v>1142</v>
      </c>
      <c r="B172" s="697" t="s">
        <v>1143</v>
      </c>
      <c r="C172" s="666" t="s">
        <v>858</v>
      </c>
      <c r="D172" s="284"/>
      <c r="E172" s="284"/>
      <c r="F172" s="284"/>
      <c r="G172" s="284"/>
      <c r="H172" s="284"/>
      <c r="I172" s="284"/>
      <c r="J172" s="504">
        <v>1</v>
      </c>
      <c r="K172" s="504">
        <f t="shared" si="68"/>
        <v>0</v>
      </c>
      <c r="L172" s="506">
        <v>0</v>
      </c>
      <c r="M172" s="506">
        <f t="shared" si="75"/>
        <v>0</v>
      </c>
      <c r="N172" s="504">
        <v>1</v>
      </c>
      <c r="O172" s="504">
        <f t="shared" si="69"/>
        <v>0</v>
      </c>
      <c r="P172" s="504">
        <v>0</v>
      </c>
      <c r="Q172" s="504">
        <v>0</v>
      </c>
      <c r="R172" s="649">
        <f t="shared" si="70"/>
        <v>0</v>
      </c>
      <c r="S172" s="504">
        <v>0</v>
      </c>
      <c r="T172" s="504">
        <v>0</v>
      </c>
      <c r="U172" s="504">
        <f t="shared" si="71"/>
        <v>0</v>
      </c>
      <c r="V172" s="504">
        <f t="shared" si="72"/>
        <v>1</v>
      </c>
      <c r="W172" s="504">
        <f t="shared" si="73"/>
        <v>0</v>
      </c>
      <c r="X172" s="504">
        <f t="shared" si="77"/>
        <v>0</v>
      </c>
      <c r="Y172" s="504">
        <f t="shared" si="78"/>
        <v>0</v>
      </c>
      <c r="Z172" s="504">
        <f t="shared" si="79"/>
        <v>0</v>
      </c>
      <c r="AA172" s="504" t="e">
        <f t="shared" si="74"/>
        <v>#DIV/0!</v>
      </c>
      <c r="AB172" s="504">
        <v>0</v>
      </c>
      <c r="AC172" s="504">
        <f t="shared" si="80"/>
        <v>0</v>
      </c>
      <c r="AD172" s="504"/>
      <c r="AE172" s="508"/>
      <c r="AF172" s="504"/>
      <c r="AG172" s="504"/>
      <c r="AH172" s="504"/>
      <c r="AI172" s="504"/>
      <c r="AJ172" s="504"/>
      <c r="AK172" s="504"/>
      <c r="AL172" s="504"/>
      <c r="AM172" s="504"/>
      <c r="AN172" s="504"/>
      <c r="AO172" s="504"/>
      <c r="AP172" s="504"/>
      <c r="AQ172" s="504"/>
      <c r="AR172" s="505"/>
      <c r="AS172" s="505"/>
      <c r="AT172" s="507"/>
      <c r="AU172" s="693">
        <f>'[2]3rd Trimester Progress(Pradesh '!AB172</f>
        <v>0</v>
      </c>
      <c r="AV172" s="693">
        <f t="shared" si="81"/>
        <v>0</v>
      </c>
      <c r="AW172" s="305"/>
      <c r="AX172" s="698">
        <f>'[2]3rd Trimester Progress(Pradesh '!Q172</f>
        <v>0</v>
      </c>
      <c r="AY172" s="698">
        <f t="shared" si="82"/>
        <v>0</v>
      </c>
      <c r="AZ172" s="305"/>
      <c r="BA172" s="305"/>
      <c r="BB172" s="305"/>
      <c r="BC172" s="305"/>
      <c r="BD172" s="305"/>
    </row>
    <row r="173" spans="1:56" s="306" customFormat="1" ht="24">
      <c r="A173" s="433" t="s">
        <v>1144</v>
      </c>
      <c r="B173" s="697" t="s">
        <v>835</v>
      </c>
      <c r="C173" s="666" t="s">
        <v>858</v>
      </c>
      <c r="D173" s="284"/>
      <c r="E173" s="284"/>
      <c r="F173" s="284"/>
      <c r="G173" s="284"/>
      <c r="H173" s="284"/>
      <c r="I173" s="284"/>
      <c r="J173" s="504">
        <v>1</v>
      </c>
      <c r="K173" s="504">
        <f t="shared" si="68"/>
        <v>0.29273284560925328</v>
      </c>
      <c r="L173" s="506">
        <v>5.95</v>
      </c>
      <c r="M173" s="506">
        <f t="shared" si="75"/>
        <v>5.95</v>
      </c>
      <c r="N173" s="504">
        <v>1</v>
      </c>
      <c r="O173" s="504">
        <f t="shared" si="69"/>
        <v>7.7734100178591628E-2</v>
      </c>
      <c r="P173" s="504">
        <v>1.58</v>
      </c>
      <c r="Q173" s="504">
        <v>0.17000000000000004</v>
      </c>
      <c r="R173" s="649">
        <f t="shared" si="70"/>
        <v>1.3214797030360581E-2</v>
      </c>
      <c r="S173" s="504">
        <f t="shared" si="76"/>
        <v>17</v>
      </c>
      <c r="T173" s="504">
        <v>1.3070500000000003</v>
      </c>
      <c r="U173" s="504">
        <f t="shared" si="71"/>
        <v>82.724683544303815</v>
      </c>
      <c r="V173" s="504">
        <f t="shared" si="72"/>
        <v>1</v>
      </c>
      <c r="W173" s="504">
        <f t="shared" si="73"/>
        <v>0.29273284560925328</v>
      </c>
      <c r="X173" s="504">
        <f t="shared" si="77"/>
        <v>5.95</v>
      </c>
      <c r="Y173" s="504">
        <f t="shared" si="78"/>
        <v>1</v>
      </c>
      <c r="Z173" s="504">
        <f t="shared" si="79"/>
        <v>0.29273284560925328</v>
      </c>
      <c r="AA173" s="504">
        <f t="shared" si="74"/>
        <v>100</v>
      </c>
      <c r="AB173" s="504">
        <v>5.9270500000000004</v>
      </c>
      <c r="AC173" s="504">
        <f t="shared" si="80"/>
        <v>99.614285714285728</v>
      </c>
      <c r="AD173" s="504"/>
      <c r="AE173" s="508"/>
      <c r="AF173" s="504"/>
      <c r="AG173" s="504"/>
      <c r="AH173" s="504"/>
      <c r="AI173" s="504"/>
      <c r="AJ173" s="504"/>
      <c r="AK173" s="504"/>
      <c r="AL173" s="504"/>
      <c r="AM173" s="504"/>
      <c r="AN173" s="504"/>
      <c r="AO173" s="504"/>
      <c r="AP173" s="504"/>
      <c r="AQ173" s="504"/>
      <c r="AR173" s="505"/>
      <c r="AS173" s="505"/>
      <c r="AT173" s="507"/>
      <c r="AU173" s="693">
        <f>'[2]3rd Trimester Progress(Pradesh '!AB173</f>
        <v>4.62</v>
      </c>
      <c r="AV173" s="693">
        <f t="shared" si="81"/>
        <v>1.3070500000000003</v>
      </c>
      <c r="AW173" s="305"/>
      <c r="AX173" s="698">
        <f>'[2]3rd Trimester Progress(Pradesh '!Q173</f>
        <v>0.83</v>
      </c>
      <c r="AY173" s="698">
        <f t="shared" si="82"/>
        <v>0.17000000000000004</v>
      </c>
      <c r="AZ173" s="305"/>
      <c r="BA173" s="305"/>
      <c r="BB173" s="305"/>
      <c r="BC173" s="305"/>
      <c r="BD173" s="305"/>
    </row>
    <row r="174" spans="1:56" s="306" customFormat="1" ht="24">
      <c r="A174" s="433" t="s">
        <v>845</v>
      </c>
      <c r="B174" s="697" t="s">
        <v>846</v>
      </c>
      <c r="C174" s="666" t="s">
        <v>1177</v>
      </c>
      <c r="D174" s="284"/>
      <c r="E174" s="284"/>
      <c r="F174" s="284"/>
      <c r="G174" s="284"/>
      <c r="H174" s="284"/>
      <c r="I174" s="284"/>
      <c r="J174" s="504">
        <v>1</v>
      </c>
      <c r="K174" s="504">
        <f t="shared" si="68"/>
        <v>0.14759639274416131</v>
      </c>
      <c r="L174" s="506">
        <v>3</v>
      </c>
      <c r="M174" s="506">
        <f t="shared" si="75"/>
        <v>3</v>
      </c>
      <c r="N174" s="504">
        <v>1</v>
      </c>
      <c r="O174" s="504">
        <f t="shared" si="69"/>
        <v>3.6899098186040327E-2</v>
      </c>
      <c r="P174" s="504">
        <v>0.75</v>
      </c>
      <c r="Q174" s="504">
        <v>0.31000000000000005</v>
      </c>
      <c r="R174" s="649">
        <f t="shared" si="70"/>
        <v>1.1438720437672504E-2</v>
      </c>
      <c r="S174" s="504">
        <f t="shared" si="76"/>
        <v>31</v>
      </c>
      <c r="T174" s="504">
        <v>0.91763000000000017</v>
      </c>
      <c r="U174" s="504">
        <f t="shared" si="71"/>
        <v>122.3506666666667</v>
      </c>
      <c r="V174" s="504">
        <f t="shared" si="72"/>
        <v>1</v>
      </c>
      <c r="W174" s="504">
        <f t="shared" si="73"/>
        <v>0.14759639274416131</v>
      </c>
      <c r="X174" s="504">
        <f t="shared" si="77"/>
        <v>3</v>
      </c>
      <c r="Y174" s="504">
        <f t="shared" si="78"/>
        <v>0.89</v>
      </c>
      <c r="Z174" s="504">
        <f t="shared" si="79"/>
        <v>0.13136078954230357</v>
      </c>
      <c r="AA174" s="504">
        <f t="shared" si="74"/>
        <v>89</v>
      </c>
      <c r="AB174" s="504">
        <v>2.6576300000000002</v>
      </c>
      <c r="AC174" s="504">
        <f t="shared" si="80"/>
        <v>88.587666666666678</v>
      </c>
      <c r="AD174" s="504"/>
      <c r="AE174" s="508"/>
      <c r="AF174" s="504"/>
      <c r="AG174" s="504"/>
      <c r="AH174" s="504"/>
      <c r="AI174" s="504"/>
      <c r="AJ174" s="504"/>
      <c r="AK174" s="504"/>
      <c r="AL174" s="504"/>
      <c r="AM174" s="504"/>
      <c r="AN174" s="504"/>
      <c r="AO174" s="504"/>
      <c r="AP174" s="504"/>
      <c r="AQ174" s="504"/>
      <c r="AR174" s="505"/>
      <c r="AS174" s="505"/>
      <c r="AT174" s="507"/>
      <c r="AU174" s="693">
        <f>'[2]3rd Trimester Progress(Pradesh '!AB174</f>
        <v>1.74</v>
      </c>
      <c r="AV174" s="693">
        <f t="shared" si="81"/>
        <v>0.91763000000000017</v>
      </c>
      <c r="AW174" s="305"/>
      <c r="AX174" s="698">
        <f>'[2]3rd Trimester Progress(Pradesh '!Q174</f>
        <v>0.57999999999999996</v>
      </c>
      <c r="AY174" s="698">
        <f t="shared" si="82"/>
        <v>0.31000000000000005</v>
      </c>
      <c r="AZ174" s="305"/>
      <c r="BA174" s="305"/>
      <c r="BB174" s="305"/>
      <c r="BC174" s="305"/>
      <c r="BD174" s="305"/>
    </row>
    <row r="175" spans="1:56" s="306" customFormat="1" ht="24">
      <c r="A175" s="433" t="s">
        <v>1146</v>
      </c>
      <c r="B175" s="697" t="s">
        <v>1145</v>
      </c>
      <c r="C175" s="667" t="s">
        <v>795</v>
      </c>
      <c r="D175" s="284"/>
      <c r="E175" s="284"/>
      <c r="F175" s="284"/>
      <c r="G175" s="284"/>
      <c r="H175" s="284"/>
      <c r="I175" s="284"/>
      <c r="J175" s="504">
        <v>1</v>
      </c>
      <c r="K175" s="504">
        <f t="shared" si="68"/>
        <v>1.1807711419532905E-2</v>
      </c>
      <c r="L175" s="506">
        <v>0.24</v>
      </c>
      <c r="M175" s="506">
        <f t="shared" si="75"/>
        <v>0.24</v>
      </c>
      <c r="N175" s="504">
        <v>1</v>
      </c>
      <c r="O175" s="504">
        <f t="shared" si="69"/>
        <v>2.9519278548832263E-3</v>
      </c>
      <c r="P175" s="504">
        <v>0.06</v>
      </c>
      <c r="Q175" s="504">
        <v>0.29999999999999993</v>
      </c>
      <c r="R175" s="649">
        <f t="shared" si="70"/>
        <v>8.8557835646496772E-4</v>
      </c>
      <c r="S175" s="504">
        <f t="shared" si="76"/>
        <v>30</v>
      </c>
      <c r="T175" s="504">
        <v>7.2000000000000008E-2</v>
      </c>
      <c r="U175" s="504">
        <f t="shared" si="71"/>
        <v>120.00000000000001</v>
      </c>
      <c r="V175" s="504">
        <f t="shared" si="72"/>
        <v>1</v>
      </c>
      <c r="W175" s="504">
        <f t="shared" si="73"/>
        <v>1.1807711419532905E-2</v>
      </c>
      <c r="X175" s="504">
        <f t="shared" si="77"/>
        <v>0.24</v>
      </c>
      <c r="Y175" s="504">
        <f t="shared" si="78"/>
        <v>0.97</v>
      </c>
      <c r="Z175" s="504">
        <f t="shared" si="79"/>
        <v>1.1453480076946918E-2</v>
      </c>
      <c r="AA175" s="504">
        <f t="shared" si="74"/>
        <v>97</v>
      </c>
      <c r="AB175" s="504">
        <v>0.23200000000000001</v>
      </c>
      <c r="AC175" s="504">
        <f t="shared" si="80"/>
        <v>96.666666666666686</v>
      </c>
      <c r="AD175" s="504"/>
      <c r="AE175" s="508"/>
      <c r="AF175" s="504"/>
      <c r="AG175" s="504"/>
      <c r="AH175" s="504"/>
      <c r="AI175" s="504"/>
      <c r="AJ175" s="504"/>
      <c r="AK175" s="504"/>
      <c r="AL175" s="504"/>
      <c r="AM175" s="504"/>
      <c r="AN175" s="504"/>
      <c r="AO175" s="504"/>
      <c r="AP175" s="504"/>
      <c r="AQ175" s="504"/>
      <c r="AR175" s="505"/>
      <c r="AS175" s="505"/>
      <c r="AT175" s="507"/>
      <c r="AU175" s="693">
        <f>'[2]3rd Trimester Progress(Pradesh '!AB175</f>
        <v>0.16</v>
      </c>
      <c r="AV175" s="693">
        <f t="shared" si="81"/>
        <v>7.2000000000000008E-2</v>
      </c>
      <c r="AW175" s="305"/>
      <c r="AX175" s="698">
        <f>'[2]3rd Trimester Progress(Pradesh '!Q175</f>
        <v>0.67</v>
      </c>
      <c r="AY175" s="698">
        <f t="shared" si="82"/>
        <v>0.29999999999999993</v>
      </c>
      <c r="AZ175" s="305"/>
      <c r="BA175" s="305"/>
      <c r="BB175" s="305"/>
      <c r="BC175" s="305"/>
      <c r="BD175" s="305"/>
    </row>
    <row r="176" spans="1:56" s="306" customFormat="1" ht="24">
      <c r="A176" s="433" t="s">
        <v>1147</v>
      </c>
      <c r="B176" s="697" t="s">
        <v>854</v>
      </c>
      <c r="C176" s="666" t="s">
        <v>794</v>
      </c>
      <c r="D176" s="284"/>
      <c r="E176" s="284"/>
      <c r="F176" s="284"/>
      <c r="G176" s="284"/>
      <c r="H176" s="284"/>
      <c r="I176" s="284"/>
      <c r="J176" s="504">
        <v>1</v>
      </c>
      <c r="K176" s="504">
        <f t="shared" si="68"/>
        <v>8.8557835646496788E-2</v>
      </c>
      <c r="L176" s="506">
        <v>1.8</v>
      </c>
      <c r="M176" s="506">
        <f t="shared" si="75"/>
        <v>1.8</v>
      </c>
      <c r="N176" s="504">
        <v>1</v>
      </c>
      <c r="O176" s="504">
        <f t="shared" si="69"/>
        <v>2.2139458911624197E-2</v>
      </c>
      <c r="P176" s="504">
        <v>0.45</v>
      </c>
      <c r="Q176" s="504">
        <v>0.27</v>
      </c>
      <c r="R176" s="649">
        <f t="shared" si="70"/>
        <v>5.9776539061385334E-3</v>
      </c>
      <c r="S176" s="504">
        <f t="shared" si="76"/>
        <v>27</v>
      </c>
      <c r="T176" s="504">
        <v>0.49080000000000013</v>
      </c>
      <c r="U176" s="504">
        <f t="shared" si="71"/>
        <v>109.06666666666669</v>
      </c>
      <c r="V176" s="504">
        <f t="shared" si="72"/>
        <v>1</v>
      </c>
      <c r="W176" s="504">
        <f t="shared" si="73"/>
        <v>8.8557835646496788E-2</v>
      </c>
      <c r="X176" s="504">
        <f t="shared" si="77"/>
        <v>1.8</v>
      </c>
      <c r="Y176" s="504">
        <f t="shared" si="78"/>
        <v>0.81</v>
      </c>
      <c r="Z176" s="504">
        <f t="shared" si="79"/>
        <v>7.1731846873662408E-2</v>
      </c>
      <c r="AA176" s="504">
        <f t="shared" si="74"/>
        <v>81</v>
      </c>
      <c r="AB176" s="504">
        <v>1.4508000000000001</v>
      </c>
      <c r="AC176" s="504">
        <f t="shared" si="80"/>
        <v>80.600000000000009</v>
      </c>
      <c r="AD176" s="504"/>
      <c r="AE176" s="508"/>
      <c r="AF176" s="504"/>
      <c r="AG176" s="504"/>
      <c r="AH176" s="504"/>
      <c r="AI176" s="504"/>
      <c r="AJ176" s="504"/>
      <c r="AK176" s="504"/>
      <c r="AL176" s="504"/>
      <c r="AM176" s="504"/>
      <c r="AN176" s="504"/>
      <c r="AO176" s="504"/>
      <c r="AP176" s="504"/>
      <c r="AQ176" s="504"/>
      <c r="AR176" s="505"/>
      <c r="AS176" s="505"/>
      <c r="AT176" s="507"/>
      <c r="AU176" s="693">
        <f>'[2]3rd Trimester Progress(Pradesh '!AB176</f>
        <v>0.96</v>
      </c>
      <c r="AV176" s="693">
        <f t="shared" si="81"/>
        <v>0.49080000000000013</v>
      </c>
      <c r="AW176" s="305"/>
      <c r="AX176" s="698">
        <f>'[2]3rd Trimester Progress(Pradesh '!Q176</f>
        <v>0.54</v>
      </c>
      <c r="AY176" s="698">
        <f t="shared" si="82"/>
        <v>0.27</v>
      </c>
      <c r="AZ176" s="305"/>
      <c r="BA176" s="305"/>
      <c r="BB176" s="305"/>
      <c r="BC176" s="305"/>
      <c r="BD176" s="305"/>
    </row>
    <row r="177" spans="1:56" s="306" customFormat="1" ht="24">
      <c r="A177" s="433" t="s">
        <v>847</v>
      </c>
      <c r="B177" s="697" t="s">
        <v>848</v>
      </c>
      <c r="C177" s="666" t="s">
        <v>1177</v>
      </c>
      <c r="D177" s="284"/>
      <c r="E177" s="284"/>
      <c r="F177" s="284"/>
      <c r="G177" s="284"/>
      <c r="H177" s="284"/>
      <c r="I177" s="284"/>
      <c r="J177" s="504">
        <v>1</v>
      </c>
      <c r="K177" s="504">
        <f t="shared" si="68"/>
        <v>1.1807711419532905E-2</v>
      </c>
      <c r="L177" s="506">
        <v>0.24</v>
      </c>
      <c r="M177" s="506">
        <f t="shared" si="75"/>
        <v>0.24</v>
      </c>
      <c r="N177" s="504">
        <v>1</v>
      </c>
      <c r="O177" s="504">
        <f t="shared" si="69"/>
        <v>2.9519278548832263E-3</v>
      </c>
      <c r="P177" s="504">
        <v>0.06</v>
      </c>
      <c r="Q177" s="504">
        <v>8.9999999999999969E-2</v>
      </c>
      <c r="R177" s="649">
        <f t="shared" si="70"/>
        <v>2.6567350693949029E-4</v>
      </c>
      <c r="S177" s="504">
        <f t="shared" si="76"/>
        <v>9</v>
      </c>
      <c r="T177" s="504">
        <v>2.1919999999999995E-2</v>
      </c>
      <c r="U177" s="504">
        <f t="shared" si="71"/>
        <v>36.533333333333331</v>
      </c>
      <c r="V177" s="504">
        <f t="shared" si="72"/>
        <v>1</v>
      </c>
      <c r="W177" s="504">
        <f t="shared" si="73"/>
        <v>1.1807711419532905E-2</v>
      </c>
      <c r="X177" s="504">
        <f t="shared" si="77"/>
        <v>0.24</v>
      </c>
      <c r="Y177" s="504">
        <f t="shared" si="78"/>
        <v>0.97</v>
      </c>
      <c r="Z177" s="504">
        <f t="shared" si="79"/>
        <v>1.1453480076946918E-2</v>
      </c>
      <c r="AA177" s="504">
        <f t="shared" si="74"/>
        <v>97</v>
      </c>
      <c r="AB177" s="504">
        <v>0.23191999999999999</v>
      </c>
      <c r="AC177" s="504">
        <f t="shared" si="80"/>
        <v>96.633333333333326</v>
      </c>
      <c r="AD177" s="504"/>
      <c r="AE177" s="508"/>
      <c r="AF177" s="504"/>
      <c r="AG177" s="504"/>
      <c r="AH177" s="504"/>
      <c r="AI177" s="504"/>
      <c r="AJ177" s="504"/>
      <c r="AK177" s="504"/>
      <c r="AL177" s="504"/>
      <c r="AM177" s="504"/>
      <c r="AN177" s="504"/>
      <c r="AO177" s="504"/>
      <c r="AP177" s="504"/>
      <c r="AQ177" s="504"/>
      <c r="AR177" s="505"/>
      <c r="AS177" s="505"/>
      <c r="AT177" s="507"/>
      <c r="AU177" s="693">
        <f>'[2]3rd Trimester Progress(Pradesh '!AB177</f>
        <v>0.21</v>
      </c>
      <c r="AV177" s="693">
        <f t="shared" si="81"/>
        <v>2.1919999999999995E-2</v>
      </c>
      <c r="AW177" s="305"/>
      <c r="AX177" s="698">
        <f>'[2]3rd Trimester Progress(Pradesh '!Q177</f>
        <v>0.88</v>
      </c>
      <c r="AY177" s="698">
        <f t="shared" si="82"/>
        <v>8.9999999999999969E-2</v>
      </c>
      <c r="AZ177" s="305"/>
      <c r="BA177" s="305"/>
      <c r="BB177" s="305"/>
      <c r="BC177" s="305"/>
      <c r="BD177" s="305"/>
    </row>
    <row r="178" spans="1:56" s="306" customFormat="1" ht="24">
      <c r="A178" s="433" t="s">
        <v>849</v>
      </c>
      <c r="B178" s="697" t="s">
        <v>850</v>
      </c>
      <c r="C178" s="667" t="s">
        <v>795</v>
      </c>
      <c r="D178" s="284"/>
      <c r="E178" s="284"/>
      <c r="F178" s="284"/>
      <c r="G178" s="284"/>
      <c r="H178" s="284"/>
      <c r="I178" s="284"/>
      <c r="J178" s="504">
        <v>1</v>
      </c>
      <c r="K178" s="504">
        <f t="shared" si="68"/>
        <v>0.12398096990509551</v>
      </c>
      <c r="L178" s="506">
        <v>2.52</v>
      </c>
      <c r="M178" s="506">
        <f t="shared" si="75"/>
        <v>2.52</v>
      </c>
      <c r="N178" s="504">
        <v>1</v>
      </c>
      <c r="O178" s="504">
        <f t="shared" si="69"/>
        <v>3.0995242476273877E-2</v>
      </c>
      <c r="P178" s="504">
        <v>0.63</v>
      </c>
      <c r="Q178" s="504">
        <v>0.17999999999999994</v>
      </c>
      <c r="R178" s="649">
        <f t="shared" si="70"/>
        <v>5.5791436457292964E-3</v>
      </c>
      <c r="S178" s="504">
        <f t="shared" si="76"/>
        <v>18</v>
      </c>
      <c r="T178" s="504">
        <v>0.45234000000000019</v>
      </c>
      <c r="U178" s="504">
        <f t="shared" si="71"/>
        <v>71.800000000000026</v>
      </c>
      <c r="V178" s="504">
        <f t="shared" si="72"/>
        <v>1</v>
      </c>
      <c r="W178" s="504">
        <f t="shared" si="73"/>
        <v>0.12398096990509551</v>
      </c>
      <c r="X178" s="504">
        <f t="shared" si="77"/>
        <v>2.52</v>
      </c>
      <c r="Y178" s="504">
        <f t="shared" si="78"/>
        <v>0.97</v>
      </c>
      <c r="Z178" s="504">
        <f t="shared" si="79"/>
        <v>0.12026154080794264</v>
      </c>
      <c r="AA178" s="504">
        <f t="shared" si="74"/>
        <v>97</v>
      </c>
      <c r="AB178" s="504">
        <v>2.4223400000000002</v>
      </c>
      <c r="AC178" s="504">
        <f t="shared" si="80"/>
        <v>96.12460317460318</v>
      </c>
      <c r="AD178" s="504"/>
      <c r="AE178" s="508"/>
      <c r="AF178" s="504"/>
      <c r="AG178" s="504"/>
      <c r="AH178" s="504"/>
      <c r="AI178" s="504"/>
      <c r="AJ178" s="504"/>
      <c r="AK178" s="504"/>
      <c r="AL178" s="504"/>
      <c r="AM178" s="504"/>
      <c r="AN178" s="504"/>
      <c r="AO178" s="504"/>
      <c r="AP178" s="504"/>
      <c r="AQ178" s="504"/>
      <c r="AR178" s="505"/>
      <c r="AS178" s="505"/>
      <c r="AT178" s="507"/>
      <c r="AU178" s="693">
        <f>'[2]3rd Trimester Progress(Pradesh '!AB178</f>
        <v>1.97</v>
      </c>
      <c r="AV178" s="693">
        <f t="shared" si="81"/>
        <v>0.45234000000000019</v>
      </c>
      <c r="AW178" s="305"/>
      <c r="AX178" s="698">
        <f>'[2]3rd Trimester Progress(Pradesh '!Q178</f>
        <v>0.79</v>
      </c>
      <c r="AY178" s="698">
        <f t="shared" si="82"/>
        <v>0.17999999999999994</v>
      </c>
      <c r="AZ178" s="305"/>
      <c r="BA178" s="305"/>
      <c r="BB178" s="305"/>
      <c r="BC178" s="305"/>
      <c r="BD178" s="305"/>
    </row>
    <row r="179" spans="1:56" s="306" customFormat="1" ht="24">
      <c r="A179" s="433" t="s">
        <v>837</v>
      </c>
      <c r="B179" s="697" t="s">
        <v>838</v>
      </c>
      <c r="C179" s="666" t="s">
        <v>858</v>
      </c>
      <c r="D179" s="284"/>
      <c r="E179" s="284"/>
      <c r="F179" s="284"/>
      <c r="G179" s="284"/>
      <c r="H179" s="284"/>
      <c r="I179" s="284"/>
      <c r="J179" s="504">
        <v>1</v>
      </c>
      <c r="K179" s="504">
        <f t="shared" si="68"/>
        <v>0.16530795987346067</v>
      </c>
      <c r="L179" s="506">
        <v>3.36</v>
      </c>
      <c r="M179" s="506">
        <f t="shared" si="75"/>
        <v>3.36</v>
      </c>
      <c r="N179" s="504">
        <v>1</v>
      </c>
      <c r="O179" s="504">
        <f t="shared" si="69"/>
        <v>4.1326989968365167E-2</v>
      </c>
      <c r="P179" s="504">
        <v>0.84</v>
      </c>
      <c r="Q179" s="504">
        <v>0.25</v>
      </c>
      <c r="R179" s="649">
        <f t="shared" si="70"/>
        <v>1.0331747492091292E-2</v>
      </c>
      <c r="S179" s="504">
        <f t="shared" si="76"/>
        <v>25</v>
      </c>
      <c r="T179" s="504">
        <v>0.83999999999999986</v>
      </c>
      <c r="U179" s="504">
        <f t="shared" si="71"/>
        <v>99.999999999999986</v>
      </c>
      <c r="V179" s="504">
        <f t="shared" si="72"/>
        <v>1</v>
      </c>
      <c r="W179" s="504">
        <f t="shared" si="73"/>
        <v>0.16530795987346067</v>
      </c>
      <c r="X179" s="504">
        <f t="shared" si="77"/>
        <v>3.36</v>
      </c>
      <c r="Y179" s="504">
        <f t="shared" si="78"/>
        <v>0.99</v>
      </c>
      <c r="Z179" s="504">
        <f t="shared" si="79"/>
        <v>0.16365488027472605</v>
      </c>
      <c r="AA179" s="504">
        <f t="shared" si="74"/>
        <v>99</v>
      </c>
      <c r="AB179" s="504">
        <v>3.3</v>
      </c>
      <c r="AC179" s="504">
        <f t="shared" si="80"/>
        <v>98.214285714285708</v>
      </c>
      <c r="AD179" s="504"/>
      <c r="AE179" s="508"/>
      <c r="AF179" s="504"/>
      <c r="AG179" s="504"/>
      <c r="AH179" s="504"/>
      <c r="AI179" s="504"/>
      <c r="AJ179" s="504"/>
      <c r="AK179" s="504"/>
      <c r="AL179" s="504"/>
      <c r="AM179" s="504"/>
      <c r="AN179" s="504"/>
      <c r="AO179" s="504"/>
      <c r="AP179" s="504"/>
      <c r="AQ179" s="504"/>
      <c r="AR179" s="505"/>
      <c r="AS179" s="505"/>
      <c r="AT179" s="507"/>
      <c r="AU179" s="693">
        <f>'[2]3rd Trimester Progress(Pradesh '!AB179</f>
        <v>2.46</v>
      </c>
      <c r="AV179" s="693">
        <f t="shared" si="81"/>
        <v>0.83999999999999986</v>
      </c>
      <c r="AW179" s="305"/>
      <c r="AX179" s="698">
        <f>'[2]3rd Trimester Progress(Pradesh '!Q179</f>
        <v>10.25</v>
      </c>
      <c r="AY179" s="698">
        <f t="shared" si="82"/>
        <v>-9.26</v>
      </c>
      <c r="AZ179" s="305"/>
      <c r="BA179" s="305"/>
      <c r="BB179" s="305"/>
      <c r="BC179" s="305"/>
      <c r="BD179" s="305"/>
    </row>
    <row r="180" spans="1:56" s="306" customFormat="1" ht="24">
      <c r="A180" s="433" t="s">
        <v>1149</v>
      </c>
      <c r="B180" s="697" t="s">
        <v>1148</v>
      </c>
      <c r="C180" s="667" t="s">
        <v>795</v>
      </c>
      <c r="D180" s="284"/>
      <c r="E180" s="284"/>
      <c r="F180" s="284"/>
      <c r="G180" s="284"/>
      <c r="H180" s="284"/>
      <c r="I180" s="284"/>
      <c r="J180" s="504">
        <v>1</v>
      </c>
      <c r="K180" s="504">
        <f t="shared" si="68"/>
        <v>0.37784676542505297</v>
      </c>
      <c r="L180" s="506">
        <v>7.68</v>
      </c>
      <c r="M180" s="506">
        <f t="shared" si="75"/>
        <v>7.68</v>
      </c>
      <c r="N180" s="504">
        <v>1</v>
      </c>
      <c r="O180" s="504">
        <f t="shared" si="69"/>
        <v>9.4461691356263242E-2</v>
      </c>
      <c r="P180" s="504">
        <v>1.92</v>
      </c>
      <c r="Q180" s="504">
        <v>2.87E-2</v>
      </c>
      <c r="R180" s="649">
        <f t="shared" si="70"/>
        <v>2.7110505419247551E-3</v>
      </c>
      <c r="S180" s="504">
        <f t="shared" si="76"/>
        <v>2.87</v>
      </c>
      <c r="T180" s="504">
        <v>0.22074999999999978</v>
      </c>
      <c r="U180" s="504">
        <f t="shared" si="71"/>
        <v>11.497395833333321</v>
      </c>
      <c r="V180" s="551">
        <f t="shared" si="72"/>
        <v>1</v>
      </c>
      <c r="W180" s="504">
        <f t="shared" si="73"/>
        <v>0.37784676542505297</v>
      </c>
      <c r="X180" s="504">
        <f t="shared" si="77"/>
        <v>7.68</v>
      </c>
      <c r="Y180" s="504">
        <f t="shared" si="78"/>
        <v>1</v>
      </c>
      <c r="Z180" s="504">
        <f t="shared" si="79"/>
        <v>0.37784676542505297</v>
      </c>
      <c r="AA180" s="504">
        <f t="shared" si="74"/>
        <v>100</v>
      </c>
      <c r="AB180" s="504">
        <v>7.67075</v>
      </c>
      <c r="AC180" s="504">
        <f t="shared" si="80"/>
        <v>99.879557291666671</v>
      </c>
      <c r="AD180" s="504"/>
      <c r="AE180" s="508"/>
      <c r="AF180" s="504"/>
      <c r="AG180" s="504"/>
      <c r="AH180" s="504"/>
      <c r="AI180" s="504"/>
      <c r="AJ180" s="504"/>
      <c r="AK180" s="504"/>
      <c r="AL180" s="504"/>
      <c r="AM180" s="504"/>
      <c r="AN180" s="504"/>
      <c r="AO180" s="504"/>
      <c r="AP180" s="504"/>
      <c r="AQ180" s="504"/>
      <c r="AR180" s="505"/>
      <c r="AS180" s="505"/>
      <c r="AT180" s="507"/>
      <c r="AU180" s="693">
        <f>'[2]3rd Trimester Progress(Pradesh '!AB180</f>
        <v>7.45</v>
      </c>
      <c r="AV180" s="693">
        <f t="shared" si="81"/>
        <v>0.22074999999999978</v>
      </c>
      <c r="AW180" s="305"/>
      <c r="AX180" s="698">
        <f>'[2]3rd Trimester Progress(Pradesh '!Q180</f>
        <v>4656.25</v>
      </c>
      <c r="AY180" s="698">
        <f t="shared" si="82"/>
        <v>-4655.25</v>
      </c>
      <c r="AZ180" s="305"/>
      <c r="BA180" s="305"/>
      <c r="BB180" s="305"/>
      <c r="BC180" s="305"/>
      <c r="BD180" s="305"/>
    </row>
    <row r="181" spans="1:56" s="306" customFormat="1" ht="24">
      <c r="A181" s="433" t="s">
        <v>1151</v>
      </c>
      <c r="B181" s="697" t="s">
        <v>1150</v>
      </c>
      <c r="C181" s="666" t="s">
        <v>858</v>
      </c>
      <c r="D181" s="284"/>
      <c r="E181" s="284"/>
      <c r="F181" s="284"/>
      <c r="G181" s="284"/>
      <c r="H181" s="284"/>
      <c r="I181" s="284"/>
      <c r="J181" s="504">
        <v>1</v>
      </c>
      <c r="K181" s="504">
        <f t="shared" si="68"/>
        <v>4.9198797581387109E-3</v>
      </c>
      <c r="L181" s="506">
        <v>0.1</v>
      </c>
      <c r="M181" s="506">
        <f t="shared" si="75"/>
        <v>0.1</v>
      </c>
      <c r="N181" s="504">
        <v>1</v>
      </c>
      <c r="O181" s="504">
        <f t="shared" si="69"/>
        <v>4.9198797581387105E-4</v>
      </c>
      <c r="P181" s="504">
        <v>0.01</v>
      </c>
      <c r="Q181" s="504">
        <v>0</v>
      </c>
      <c r="R181" s="649">
        <f t="shared" si="70"/>
        <v>0</v>
      </c>
      <c r="S181" s="504">
        <f t="shared" si="76"/>
        <v>0</v>
      </c>
      <c r="T181" s="504">
        <v>0</v>
      </c>
      <c r="U181" s="504">
        <f t="shared" si="71"/>
        <v>0</v>
      </c>
      <c r="V181" s="504">
        <f t="shared" si="72"/>
        <v>1</v>
      </c>
      <c r="W181" s="504">
        <f t="shared" si="73"/>
        <v>4.9198797581387109E-3</v>
      </c>
      <c r="X181" s="504">
        <f t="shared" si="77"/>
        <v>0.1</v>
      </c>
      <c r="Y181" s="504">
        <f t="shared" si="78"/>
        <v>0</v>
      </c>
      <c r="Z181" s="504">
        <f t="shared" si="79"/>
        <v>0</v>
      </c>
      <c r="AA181" s="504">
        <f t="shared" si="74"/>
        <v>0</v>
      </c>
      <c r="AB181" s="504">
        <v>0</v>
      </c>
      <c r="AC181" s="504">
        <f t="shared" si="80"/>
        <v>0</v>
      </c>
      <c r="AD181" s="504"/>
      <c r="AE181" s="508"/>
      <c r="AF181" s="504"/>
      <c r="AG181" s="504"/>
      <c r="AH181" s="504"/>
      <c r="AI181" s="504"/>
      <c r="AJ181" s="504"/>
      <c r="AK181" s="504"/>
      <c r="AL181" s="504"/>
      <c r="AM181" s="504"/>
      <c r="AN181" s="504"/>
      <c r="AO181" s="504"/>
      <c r="AP181" s="504"/>
      <c r="AQ181" s="504"/>
      <c r="AR181" s="505"/>
      <c r="AS181" s="505"/>
      <c r="AT181" s="507"/>
      <c r="AU181" s="693">
        <f>'[2]3rd Trimester Progress(Pradesh '!AB181</f>
        <v>0</v>
      </c>
      <c r="AV181" s="693">
        <f t="shared" si="81"/>
        <v>0</v>
      </c>
      <c r="AW181" s="305"/>
      <c r="AX181" s="698">
        <f>'[2]3rd Trimester Progress(Pradesh '!Q181</f>
        <v>0</v>
      </c>
      <c r="AY181" s="698">
        <f t="shared" si="82"/>
        <v>0</v>
      </c>
      <c r="AZ181" s="305"/>
      <c r="BA181" s="305"/>
      <c r="BB181" s="305"/>
      <c r="BC181" s="305"/>
      <c r="BD181" s="305"/>
    </row>
    <row r="182" spans="1:56" s="306" customFormat="1" ht="24">
      <c r="A182" s="433" t="s">
        <v>839</v>
      </c>
      <c r="B182" s="697" t="s">
        <v>840</v>
      </c>
      <c r="C182" s="666" t="s">
        <v>858</v>
      </c>
      <c r="D182" s="284"/>
      <c r="E182" s="284"/>
      <c r="F182" s="284"/>
      <c r="G182" s="284"/>
      <c r="H182" s="284"/>
      <c r="I182" s="284"/>
      <c r="J182" s="504">
        <v>1</v>
      </c>
      <c r="K182" s="504">
        <f t="shared" si="68"/>
        <v>1.3775663322788392E-2</v>
      </c>
      <c r="L182" s="506">
        <v>0.28000000000000003</v>
      </c>
      <c r="M182" s="506">
        <f t="shared" si="75"/>
        <v>0.28000000000000003</v>
      </c>
      <c r="N182" s="504">
        <v>1</v>
      </c>
      <c r="O182" s="504">
        <f t="shared" si="69"/>
        <v>3.443915830697098E-3</v>
      </c>
      <c r="P182" s="504">
        <v>7.0000000000000007E-2</v>
      </c>
      <c r="Q182" s="504">
        <v>1</v>
      </c>
      <c r="R182" s="649">
        <f t="shared" si="70"/>
        <v>3.443915830697098E-3</v>
      </c>
      <c r="S182" s="504">
        <f t="shared" si="76"/>
        <v>100</v>
      </c>
      <c r="T182" s="504">
        <v>0.28000000000000003</v>
      </c>
      <c r="U182" s="504">
        <f t="shared" si="71"/>
        <v>400</v>
      </c>
      <c r="V182" s="504">
        <f t="shared" si="72"/>
        <v>1</v>
      </c>
      <c r="W182" s="504">
        <f t="shared" si="73"/>
        <v>1.3775663322788392E-2</v>
      </c>
      <c r="X182" s="504">
        <f t="shared" si="77"/>
        <v>0.28000000000000003</v>
      </c>
      <c r="Y182" s="504">
        <f t="shared" si="78"/>
        <v>1</v>
      </c>
      <c r="Z182" s="504">
        <f t="shared" si="79"/>
        <v>1.3775663322788392E-2</v>
      </c>
      <c r="AA182" s="504">
        <f t="shared" si="74"/>
        <v>100</v>
      </c>
      <c r="AB182" s="504">
        <v>0.28000000000000003</v>
      </c>
      <c r="AC182" s="504">
        <f t="shared" si="80"/>
        <v>100</v>
      </c>
      <c r="AD182" s="504"/>
      <c r="AE182" s="508"/>
      <c r="AF182" s="504"/>
      <c r="AG182" s="504"/>
      <c r="AH182" s="504"/>
      <c r="AI182" s="504"/>
      <c r="AJ182" s="504"/>
      <c r="AK182" s="504"/>
      <c r="AL182" s="504"/>
      <c r="AM182" s="504"/>
      <c r="AN182" s="504"/>
      <c r="AO182" s="504"/>
      <c r="AP182" s="504"/>
      <c r="AQ182" s="504"/>
      <c r="AR182" s="505"/>
      <c r="AS182" s="505"/>
      <c r="AT182" s="507"/>
      <c r="AU182" s="693">
        <f>'[2]3rd Trimester Progress(Pradesh '!AB182</f>
        <v>0</v>
      </c>
      <c r="AV182" s="693">
        <f t="shared" si="81"/>
        <v>0.28000000000000003</v>
      </c>
      <c r="AW182" s="305"/>
      <c r="AX182" s="698">
        <f>'[2]3rd Trimester Progress(Pradesh '!Q182</f>
        <v>0</v>
      </c>
      <c r="AY182" s="698">
        <f t="shared" si="82"/>
        <v>1</v>
      </c>
      <c r="AZ182" s="305"/>
      <c r="BA182" s="305"/>
      <c r="BB182" s="305"/>
      <c r="BC182" s="305"/>
      <c r="BD182" s="305"/>
    </row>
    <row r="183" spans="1:56" s="306" customFormat="1" ht="24">
      <c r="A183" s="433" t="s">
        <v>841</v>
      </c>
      <c r="B183" s="697" t="s">
        <v>842</v>
      </c>
      <c r="C183" s="666" t="s">
        <v>858</v>
      </c>
      <c r="D183" s="284"/>
      <c r="E183" s="284"/>
      <c r="F183" s="284"/>
      <c r="G183" s="284"/>
      <c r="H183" s="284"/>
      <c r="I183" s="284"/>
      <c r="J183" s="504">
        <v>1</v>
      </c>
      <c r="K183" s="504">
        <f t="shared" si="68"/>
        <v>6.8878316613941948E-2</v>
      </c>
      <c r="L183" s="506">
        <v>1.4</v>
      </c>
      <c r="M183" s="506">
        <f t="shared" si="75"/>
        <v>1.4</v>
      </c>
      <c r="N183" s="504">
        <v>1</v>
      </c>
      <c r="O183" s="504">
        <f t="shared" si="69"/>
        <v>1.7219579153485487E-2</v>
      </c>
      <c r="P183" s="504">
        <v>0.35</v>
      </c>
      <c r="Q183" s="504">
        <v>0</v>
      </c>
      <c r="R183" s="649">
        <f t="shared" si="70"/>
        <v>0</v>
      </c>
      <c r="S183" s="504">
        <f t="shared" si="76"/>
        <v>0</v>
      </c>
      <c r="T183" s="504">
        <v>0</v>
      </c>
      <c r="U183" s="504">
        <f t="shared" si="71"/>
        <v>0</v>
      </c>
      <c r="V183" s="504">
        <f t="shared" si="72"/>
        <v>1</v>
      </c>
      <c r="W183" s="504">
        <f t="shared" si="73"/>
        <v>6.8878316613941948E-2</v>
      </c>
      <c r="X183" s="504">
        <f t="shared" si="77"/>
        <v>1.4</v>
      </c>
      <c r="Y183" s="504">
        <f t="shared" si="78"/>
        <v>1</v>
      </c>
      <c r="Z183" s="504">
        <f t="shared" si="79"/>
        <v>6.8878316613941948E-2</v>
      </c>
      <c r="AA183" s="504">
        <f t="shared" si="74"/>
        <v>100</v>
      </c>
      <c r="AB183" s="504">
        <v>1.4</v>
      </c>
      <c r="AC183" s="504">
        <f t="shared" si="80"/>
        <v>100</v>
      </c>
      <c r="AD183" s="504"/>
      <c r="AE183" s="508"/>
      <c r="AF183" s="504"/>
      <c r="AG183" s="504"/>
      <c r="AH183" s="504"/>
      <c r="AI183" s="504"/>
      <c r="AJ183" s="504"/>
      <c r="AK183" s="504"/>
      <c r="AL183" s="504"/>
      <c r="AM183" s="504"/>
      <c r="AN183" s="504"/>
      <c r="AO183" s="504"/>
      <c r="AP183" s="504"/>
      <c r="AQ183" s="504"/>
      <c r="AR183" s="505"/>
      <c r="AS183" s="505"/>
      <c r="AT183" s="507"/>
      <c r="AU183" s="693">
        <f>'[2]3rd Trimester Progress(Pradesh '!AB183</f>
        <v>1.4</v>
      </c>
      <c r="AV183" s="693">
        <f t="shared" si="81"/>
        <v>0</v>
      </c>
      <c r="AW183" s="305"/>
      <c r="AX183" s="698">
        <f>'[2]3rd Trimester Progress(Pradesh '!Q183</f>
        <v>14</v>
      </c>
      <c r="AY183" s="698">
        <f t="shared" si="82"/>
        <v>-13</v>
      </c>
      <c r="AZ183" s="305"/>
      <c r="BA183" s="305"/>
      <c r="BB183" s="305"/>
      <c r="BC183" s="305"/>
      <c r="BD183" s="305"/>
    </row>
    <row r="184" spans="1:56" s="306" customFormat="1" ht="24">
      <c r="A184" s="433" t="s">
        <v>1153</v>
      </c>
      <c r="B184" s="697" t="s">
        <v>1152</v>
      </c>
      <c r="C184" s="667" t="s">
        <v>795</v>
      </c>
      <c r="D184" s="284"/>
      <c r="E184" s="284"/>
      <c r="F184" s="284"/>
      <c r="G184" s="284"/>
      <c r="H184" s="284"/>
      <c r="I184" s="284"/>
      <c r="J184" s="504">
        <v>1</v>
      </c>
      <c r="K184" s="504">
        <f t="shared" si="68"/>
        <v>0.15743615226043875</v>
      </c>
      <c r="L184" s="506">
        <v>3.2</v>
      </c>
      <c r="M184" s="506">
        <f t="shared" si="75"/>
        <v>3.2</v>
      </c>
      <c r="N184" s="504">
        <v>1</v>
      </c>
      <c r="O184" s="504">
        <f t="shared" si="69"/>
        <v>3.9359038065109687E-2</v>
      </c>
      <c r="P184" s="504">
        <v>0.8</v>
      </c>
      <c r="Q184" s="504">
        <v>0.10249999999999999</v>
      </c>
      <c r="R184" s="649">
        <f t="shared" si="70"/>
        <v>4.0343014016737426E-3</v>
      </c>
      <c r="S184" s="504">
        <f t="shared" si="76"/>
        <v>10.25</v>
      </c>
      <c r="T184" s="504">
        <v>0.32657999999999987</v>
      </c>
      <c r="U184" s="504">
        <f t="shared" si="71"/>
        <v>40.822499999999984</v>
      </c>
      <c r="V184" s="504">
        <f t="shared" si="72"/>
        <v>1</v>
      </c>
      <c r="W184" s="504">
        <f t="shared" si="73"/>
        <v>0.15743615226043875</v>
      </c>
      <c r="X184" s="504">
        <f t="shared" si="77"/>
        <v>3.2</v>
      </c>
      <c r="Y184" s="504">
        <f t="shared" si="78"/>
        <v>1</v>
      </c>
      <c r="Z184" s="504">
        <f t="shared" si="79"/>
        <v>0.15743615226043875</v>
      </c>
      <c r="AA184" s="504">
        <f t="shared" si="74"/>
        <v>100</v>
      </c>
      <c r="AB184" s="649">
        <v>3.19658</v>
      </c>
      <c r="AC184" s="504">
        <f t="shared" si="80"/>
        <v>99.893124999999998</v>
      </c>
      <c r="AD184" s="504"/>
      <c r="AE184" s="508"/>
      <c r="AF184" s="504"/>
      <c r="AG184" s="504"/>
      <c r="AH184" s="504"/>
      <c r="AI184" s="504"/>
      <c r="AJ184" s="504"/>
      <c r="AK184" s="504"/>
      <c r="AL184" s="504"/>
      <c r="AM184" s="504"/>
      <c r="AN184" s="504"/>
      <c r="AO184" s="504"/>
      <c r="AP184" s="504"/>
      <c r="AQ184" s="504"/>
      <c r="AR184" s="505"/>
      <c r="AS184" s="505"/>
      <c r="AT184" s="507"/>
      <c r="AU184" s="693">
        <f>'[2]3rd Trimester Progress(Pradesh '!AB184</f>
        <v>2.87</v>
      </c>
      <c r="AV184" s="693">
        <f t="shared" si="81"/>
        <v>0.32657999999999987</v>
      </c>
      <c r="AW184" s="305"/>
      <c r="AX184" s="698">
        <f>'[2]3rd Trimester Progress(Pradesh '!Q184</f>
        <v>14.35</v>
      </c>
      <c r="AY184" s="698">
        <f t="shared" si="82"/>
        <v>-13.35</v>
      </c>
      <c r="AZ184" s="305"/>
      <c r="BA184" s="305"/>
      <c r="BB184" s="305"/>
      <c r="BC184" s="305"/>
      <c r="BD184" s="305"/>
    </row>
    <row r="185" spans="1:56" ht="24">
      <c r="A185" s="433" t="s">
        <v>1155</v>
      </c>
      <c r="B185" s="697" t="s">
        <v>1154</v>
      </c>
      <c r="C185" s="667" t="s">
        <v>795</v>
      </c>
      <c r="D185" s="700"/>
      <c r="E185" s="700"/>
      <c r="F185" s="700"/>
      <c r="G185" s="700"/>
      <c r="H185" s="700"/>
      <c r="I185" s="700"/>
      <c r="J185" s="504">
        <v>1</v>
      </c>
      <c r="K185" s="504">
        <f t="shared" si="68"/>
        <v>4.4278917823248394E-2</v>
      </c>
      <c r="L185" s="512">
        <v>0.9</v>
      </c>
      <c r="M185" s="506">
        <f t="shared" si="75"/>
        <v>0.9</v>
      </c>
      <c r="N185" s="504">
        <v>1</v>
      </c>
      <c r="O185" s="504">
        <f t="shared" si="69"/>
        <v>1.0331747492091292E-2</v>
      </c>
      <c r="P185" s="504">
        <v>0.21</v>
      </c>
      <c r="Q185" s="504">
        <v>0.20000000000000018</v>
      </c>
      <c r="R185" s="649">
        <f t="shared" si="70"/>
        <v>2.0663494984182601E-3</v>
      </c>
      <c r="S185" s="504">
        <f t="shared" si="76"/>
        <v>20</v>
      </c>
      <c r="T185" s="504">
        <v>3.0000000000000027E-2</v>
      </c>
      <c r="U185" s="504">
        <f t="shared" si="71"/>
        <v>14.285714285714299</v>
      </c>
      <c r="V185" s="504">
        <f t="shared" si="72"/>
        <v>1</v>
      </c>
      <c r="W185" s="504">
        <f t="shared" si="73"/>
        <v>4.4278917823248394E-2</v>
      </c>
      <c r="X185" s="504">
        <f t="shared" si="77"/>
        <v>0.9</v>
      </c>
      <c r="Y185" s="504">
        <f t="shared" si="78"/>
        <v>1</v>
      </c>
      <c r="Z185" s="504">
        <f t="shared" si="79"/>
        <v>4.4278917823248394E-2</v>
      </c>
      <c r="AA185" s="504">
        <f t="shared" si="74"/>
        <v>100</v>
      </c>
      <c r="AB185" s="504">
        <v>0.9</v>
      </c>
      <c r="AC185" s="504">
        <f t="shared" si="80"/>
        <v>100</v>
      </c>
      <c r="AD185" s="528"/>
      <c r="AE185" s="528"/>
      <c r="AF185" s="528"/>
      <c r="AG185" s="528"/>
      <c r="AH185" s="528"/>
      <c r="AI185" s="528"/>
      <c r="AJ185" s="528"/>
      <c r="AK185" s="528"/>
      <c r="AL185" s="528"/>
      <c r="AM185" s="528"/>
      <c r="AN185" s="528"/>
      <c r="AO185" s="528"/>
      <c r="AP185" s="528"/>
      <c r="AQ185" s="528"/>
      <c r="AR185" s="528"/>
      <c r="AS185" s="528"/>
      <c r="AT185" s="528"/>
      <c r="AU185" s="693">
        <f>'[2]3rd Trimester Progress(Pradesh '!AB185</f>
        <v>0.87</v>
      </c>
      <c r="AV185" s="693">
        <f t="shared" si="81"/>
        <v>3.0000000000000027E-2</v>
      </c>
      <c r="AX185" s="698">
        <f>'[2]3rd Trimester Progress(Pradesh '!Q185</f>
        <v>5.8</v>
      </c>
      <c r="AY185" s="698">
        <f t="shared" si="82"/>
        <v>-4.8</v>
      </c>
    </row>
    <row r="186" spans="1:56" s="306" customFormat="1" ht="24">
      <c r="A186" s="433" t="s">
        <v>851</v>
      </c>
      <c r="B186" s="697" t="s">
        <v>1156</v>
      </c>
      <c r="C186" s="667" t="s">
        <v>795</v>
      </c>
      <c r="D186" s="284"/>
      <c r="E186" s="284"/>
      <c r="F186" s="284"/>
      <c r="G186" s="284"/>
      <c r="H186" s="284"/>
      <c r="I186" s="284"/>
      <c r="J186" s="504">
        <v>1</v>
      </c>
      <c r="K186" s="504">
        <f t="shared" si="68"/>
        <v>0.3689909818604033</v>
      </c>
      <c r="L186" s="506">
        <v>7.5</v>
      </c>
      <c r="M186" s="506">
        <f t="shared" si="75"/>
        <v>7.5</v>
      </c>
      <c r="N186" s="504">
        <v>1</v>
      </c>
      <c r="O186" s="504">
        <f t="shared" si="69"/>
        <v>9.1509763501380029E-2</v>
      </c>
      <c r="P186" s="504">
        <v>1.86</v>
      </c>
      <c r="Q186" s="504">
        <v>5.3199999999999997E-2</v>
      </c>
      <c r="R186" s="649">
        <f t="shared" si="70"/>
        <v>4.8683194182734171E-3</v>
      </c>
      <c r="S186" s="504">
        <f t="shared" si="76"/>
        <v>5.32</v>
      </c>
      <c r="T186" s="504">
        <v>0.39922000000000057</v>
      </c>
      <c r="U186" s="504">
        <f t="shared" si="71"/>
        <v>21.463440860215083</v>
      </c>
      <c r="V186" s="504">
        <f t="shared" si="72"/>
        <v>1</v>
      </c>
      <c r="W186" s="504">
        <f t="shared" si="73"/>
        <v>0.3689909818604033</v>
      </c>
      <c r="X186" s="504">
        <f t="shared" si="77"/>
        <v>7.5</v>
      </c>
      <c r="Y186" s="504">
        <f t="shared" si="78"/>
        <v>1</v>
      </c>
      <c r="Z186" s="504">
        <f t="shared" si="79"/>
        <v>0.3689909818604033</v>
      </c>
      <c r="AA186" s="504">
        <f t="shared" si="74"/>
        <v>100</v>
      </c>
      <c r="AB186" s="504">
        <v>7.4892200000000004</v>
      </c>
      <c r="AC186" s="504">
        <f t="shared" si="80"/>
        <v>99.85626666666667</v>
      </c>
      <c r="AD186" s="504"/>
      <c r="AE186" s="508"/>
      <c r="AF186" s="504"/>
      <c r="AG186" s="504"/>
      <c r="AH186" s="504"/>
      <c r="AI186" s="504"/>
      <c r="AJ186" s="504"/>
      <c r="AK186" s="504"/>
      <c r="AL186" s="504"/>
      <c r="AM186" s="504"/>
      <c r="AN186" s="504"/>
      <c r="AO186" s="504"/>
      <c r="AP186" s="504"/>
      <c r="AQ186" s="504"/>
      <c r="AR186" s="505"/>
      <c r="AS186" s="505"/>
      <c r="AT186" s="507"/>
      <c r="AU186" s="693">
        <f>'[2]3rd Trimester Progress(Pradesh '!AB186</f>
        <v>7.09</v>
      </c>
      <c r="AV186" s="693">
        <f t="shared" si="81"/>
        <v>0.39922000000000057</v>
      </c>
      <c r="AW186" s="305"/>
      <c r="AX186" s="698">
        <f>'[2]3rd Trimester Progress(Pradesh '!Q186</f>
        <v>47.269999999999996</v>
      </c>
      <c r="AY186" s="698">
        <f t="shared" si="82"/>
        <v>-46.269999999999996</v>
      </c>
      <c r="AZ186" s="305"/>
      <c r="BA186" s="305"/>
      <c r="BB186" s="305"/>
      <c r="BC186" s="305"/>
      <c r="BD186" s="305"/>
    </row>
    <row r="187" spans="1:56" s="306" customFormat="1" ht="24">
      <c r="A187" s="433" t="s">
        <v>1158</v>
      </c>
      <c r="B187" s="697" t="s">
        <v>1157</v>
      </c>
      <c r="C187" s="667" t="s">
        <v>795</v>
      </c>
      <c r="D187" s="284"/>
      <c r="E187" s="284"/>
      <c r="F187" s="284"/>
      <c r="G187" s="284"/>
      <c r="H187" s="284"/>
      <c r="I187" s="284"/>
      <c r="J187" s="504">
        <v>1</v>
      </c>
      <c r="K187" s="504">
        <f t="shared" si="68"/>
        <v>7.3798196372080654E-2</v>
      </c>
      <c r="L187" s="506">
        <v>1.5</v>
      </c>
      <c r="M187" s="506">
        <f t="shared" si="75"/>
        <v>1.5</v>
      </c>
      <c r="N187" s="504">
        <v>1</v>
      </c>
      <c r="O187" s="504">
        <f t="shared" si="69"/>
        <v>1.7711567129299357E-2</v>
      </c>
      <c r="P187" s="504">
        <v>0.36</v>
      </c>
      <c r="Q187" s="504">
        <v>0.22600000000000001</v>
      </c>
      <c r="R187" s="649">
        <f t="shared" si="70"/>
        <v>4.0028141712216544E-3</v>
      </c>
      <c r="S187" s="504">
        <f t="shared" si="76"/>
        <v>22.6</v>
      </c>
      <c r="T187" s="504">
        <v>0.33929000000000009</v>
      </c>
      <c r="U187" s="504">
        <f t="shared" si="71"/>
        <v>94.247222222222248</v>
      </c>
      <c r="V187" s="504">
        <f t="shared" si="72"/>
        <v>1</v>
      </c>
      <c r="W187" s="504">
        <f t="shared" si="73"/>
        <v>7.3798196372080654E-2</v>
      </c>
      <c r="X187" s="504">
        <f t="shared" si="77"/>
        <v>1.5</v>
      </c>
      <c r="Y187" s="504">
        <f t="shared" si="78"/>
        <v>0.74</v>
      </c>
      <c r="Z187" s="504">
        <f t="shared" si="79"/>
        <v>5.4610665315339681E-2</v>
      </c>
      <c r="AA187" s="504">
        <f t="shared" si="74"/>
        <v>74</v>
      </c>
      <c r="AB187" s="504">
        <v>1.0992900000000001</v>
      </c>
      <c r="AC187" s="504">
        <f t="shared" si="80"/>
        <v>73.286000000000001</v>
      </c>
      <c r="AD187" s="504"/>
      <c r="AE187" s="508"/>
      <c r="AF187" s="504"/>
      <c r="AG187" s="504"/>
      <c r="AH187" s="504"/>
      <c r="AI187" s="504"/>
      <c r="AJ187" s="504"/>
      <c r="AK187" s="504"/>
      <c r="AL187" s="504"/>
      <c r="AM187" s="504"/>
      <c r="AN187" s="504"/>
      <c r="AO187" s="504"/>
      <c r="AP187" s="504"/>
      <c r="AQ187" s="504"/>
      <c r="AR187" s="505"/>
      <c r="AS187" s="505"/>
      <c r="AT187" s="507"/>
      <c r="AU187" s="693">
        <f>'[2]3rd Trimester Progress(Pradesh '!AB187</f>
        <v>0.76</v>
      </c>
      <c r="AV187" s="693">
        <f t="shared" si="81"/>
        <v>0.33929000000000009</v>
      </c>
      <c r="AW187" s="305"/>
      <c r="AX187" s="698">
        <f>'[2]3rd Trimester Progress(Pradesh '!Q187</f>
        <v>5.0699999999999994</v>
      </c>
      <c r="AY187" s="698">
        <f t="shared" si="82"/>
        <v>-4.3299999999999992</v>
      </c>
      <c r="AZ187" s="305"/>
      <c r="BA187" s="305"/>
      <c r="BB187" s="305"/>
      <c r="BC187" s="305"/>
      <c r="BD187" s="305"/>
    </row>
    <row r="188" spans="1:56" s="306" customFormat="1" ht="24">
      <c r="A188" s="433" t="s">
        <v>1160</v>
      </c>
      <c r="B188" s="697" t="s">
        <v>1159</v>
      </c>
      <c r="C188" s="666" t="s">
        <v>858</v>
      </c>
      <c r="D188" s="284"/>
      <c r="E188" s="284"/>
      <c r="F188" s="284"/>
      <c r="G188" s="284"/>
      <c r="H188" s="284"/>
      <c r="I188" s="284"/>
      <c r="J188" s="504">
        <v>1</v>
      </c>
      <c r="K188" s="504">
        <f t="shared" si="68"/>
        <v>0.1702278396315994</v>
      </c>
      <c r="L188" s="506">
        <v>3.46</v>
      </c>
      <c r="M188" s="506">
        <f t="shared" si="75"/>
        <v>3.46</v>
      </c>
      <c r="N188" s="504">
        <v>1</v>
      </c>
      <c r="O188" s="504">
        <f t="shared" si="69"/>
        <v>5.0674761508828728E-2</v>
      </c>
      <c r="P188" s="504">
        <v>1.03</v>
      </c>
      <c r="Q188" s="504">
        <v>0.15000000000000002</v>
      </c>
      <c r="R188" s="649">
        <f t="shared" si="70"/>
        <v>7.6012142263243102E-3</v>
      </c>
      <c r="S188" s="504">
        <f t="shared" si="76"/>
        <v>15</v>
      </c>
      <c r="T188" s="504">
        <v>0.74827999999999983</v>
      </c>
      <c r="U188" s="504">
        <f t="shared" si="71"/>
        <v>72.648543689320363</v>
      </c>
      <c r="V188" s="504">
        <f t="shared" si="72"/>
        <v>1</v>
      </c>
      <c r="W188" s="504">
        <f t="shared" si="73"/>
        <v>0.1702278396315994</v>
      </c>
      <c r="X188" s="504">
        <f t="shared" si="77"/>
        <v>3.46</v>
      </c>
      <c r="Y188" s="504">
        <f t="shared" si="78"/>
        <v>1</v>
      </c>
      <c r="Z188" s="504">
        <f t="shared" si="79"/>
        <v>0.1702278396315994</v>
      </c>
      <c r="AA188" s="504">
        <f t="shared" si="74"/>
        <v>100</v>
      </c>
      <c r="AB188" s="504">
        <v>3.4582799999999998</v>
      </c>
      <c r="AC188" s="504">
        <f t="shared" si="80"/>
        <v>99.950289017341035</v>
      </c>
      <c r="AD188" s="504"/>
      <c r="AE188" s="508"/>
      <c r="AF188" s="504"/>
      <c r="AG188" s="504"/>
      <c r="AH188" s="504"/>
      <c r="AI188" s="504"/>
      <c r="AJ188" s="504"/>
      <c r="AK188" s="504"/>
      <c r="AL188" s="504"/>
      <c r="AM188" s="504"/>
      <c r="AN188" s="504"/>
      <c r="AO188" s="504"/>
      <c r="AP188" s="504"/>
      <c r="AQ188" s="504"/>
      <c r="AR188" s="505"/>
      <c r="AS188" s="505"/>
      <c r="AT188" s="507"/>
      <c r="AU188" s="693">
        <f>'[2]3rd Trimester Progress(Pradesh '!AB188</f>
        <v>2.71</v>
      </c>
      <c r="AV188" s="693">
        <f t="shared" si="81"/>
        <v>0.74827999999999983</v>
      </c>
      <c r="AW188" s="305"/>
      <c r="AX188" s="698">
        <f>'[2]3rd Trimester Progress(Pradesh '!Q188</f>
        <v>0.85</v>
      </c>
      <c r="AY188" s="698">
        <f t="shared" si="82"/>
        <v>0.15000000000000002</v>
      </c>
      <c r="AZ188" s="305"/>
      <c r="BA188" s="305"/>
      <c r="BB188" s="305"/>
      <c r="BC188" s="305"/>
      <c r="BD188" s="305"/>
    </row>
    <row r="189" spans="1:56" s="306" customFormat="1" ht="24">
      <c r="A189" s="433" t="s">
        <v>1162</v>
      </c>
      <c r="B189" s="697" t="s">
        <v>1161</v>
      </c>
      <c r="C189" s="666" t="s">
        <v>858</v>
      </c>
      <c r="D189" s="284"/>
      <c r="E189" s="284"/>
      <c r="F189" s="284"/>
      <c r="G189" s="284"/>
      <c r="H189" s="284"/>
      <c r="I189" s="284"/>
      <c r="J189" s="504">
        <v>1</v>
      </c>
      <c r="K189" s="504">
        <f t="shared" si="68"/>
        <v>0.38079869327993621</v>
      </c>
      <c r="L189" s="506">
        <v>7.74</v>
      </c>
      <c r="M189" s="506">
        <f t="shared" si="75"/>
        <v>7.74</v>
      </c>
      <c r="N189" s="504">
        <v>1</v>
      </c>
      <c r="O189" s="504">
        <f t="shared" si="69"/>
        <v>0.11512518634044583</v>
      </c>
      <c r="P189" s="504">
        <v>2.34</v>
      </c>
      <c r="Q189" s="504">
        <v>0.30000000000000004</v>
      </c>
      <c r="R189" s="649">
        <f t="shared" si="70"/>
        <v>3.4537555902133754E-2</v>
      </c>
      <c r="S189" s="504">
        <f t="shared" si="76"/>
        <v>30</v>
      </c>
      <c r="T189" s="504">
        <v>1.6613599999999993</v>
      </c>
      <c r="U189" s="504">
        <f t="shared" si="71"/>
        <v>70.998290598290566</v>
      </c>
      <c r="V189" s="504">
        <f t="shared" si="72"/>
        <v>1</v>
      </c>
      <c r="W189" s="504">
        <f t="shared" si="73"/>
        <v>0.38079869327993621</v>
      </c>
      <c r="X189" s="504">
        <f t="shared" si="77"/>
        <v>7.74</v>
      </c>
      <c r="Y189" s="504">
        <f t="shared" si="78"/>
        <v>1</v>
      </c>
      <c r="Z189" s="504">
        <f t="shared" si="79"/>
        <v>0.38079869327993621</v>
      </c>
      <c r="AA189" s="504">
        <f t="shared" si="74"/>
        <v>100</v>
      </c>
      <c r="AB189" s="504">
        <v>7.7313599999999996</v>
      </c>
      <c r="AC189" s="504">
        <f t="shared" si="80"/>
        <v>99.88837209302325</v>
      </c>
      <c r="AD189" s="504"/>
      <c r="AE189" s="508"/>
      <c r="AF189" s="504"/>
      <c r="AG189" s="504"/>
      <c r="AH189" s="504"/>
      <c r="AI189" s="504"/>
      <c r="AJ189" s="504"/>
      <c r="AK189" s="504"/>
      <c r="AL189" s="504"/>
      <c r="AM189" s="504"/>
      <c r="AN189" s="504"/>
      <c r="AO189" s="504"/>
      <c r="AP189" s="504"/>
      <c r="AQ189" s="504"/>
      <c r="AR189" s="505"/>
      <c r="AS189" s="505"/>
      <c r="AT189" s="507"/>
      <c r="AU189" s="693">
        <f>'[2]3rd Trimester Progress(Pradesh '!AB189</f>
        <v>6.07</v>
      </c>
      <c r="AV189" s="693">
        <f t="shared" si="81"/>
        <v>1.6613599999999993</v>
      </c>
      <c r="AW189" s="305"/>
      <c r="AX189" s="698">
        <f>'[2]3rd Trimester Progress(Pradesh '!Q189</f>
        <v>1.7</v>
      </c>
      <c r="AY189" s="698">
        <f t="shared" si="82"/>
        <v>-0.7</v>
      </c>
      <c r="AZ189" s="305"/>
      <c r="BA189" s="305"/>
      <c r="BB189" s="305"/>
      <c r="BC189" s="305"/>
      <c r="BD189" s="305"/>
    </row>
    <row r="190" spans="1:56" s="306" customFormat="1" ht="24">
      <c r="A190" s="433" t="s">
        <v>1164</v>
      </c>
      <c r="B190" s="697" t="s">
        <v>1163</v>
      </c>
      <c r="C190" s="666" t="s">
        <v>858</v>
      </c>
      <c r="D190" s="284"/>
      <c r="E190" s="284"/>
      <c r="F190" s="284"/>
      <c r="G190" s="284"/>
      <c r="H190" s="284"/>
      <c r="I190" s="284"/>
      <c r="J190" s="504">
        <v>1</v>
      </c>
      <c r="K190" s="504">
        <f t="shared" si="68"/>
        <v>1.475963927441613E-2</v>
      </c>
      <c r="L190" s="506">
        <v>0.3</v>
      </c>
      <c r="M190" s="506">
        <f t="shared" si="75"/>
        <v>0.3</v>
      </c>
      <c r="N190" s="504">
        <v>1</v>
      </c>
      <c r="O190" s="504">
        <f t="shared" si="69"/>
        <v>2.9519278548832263E-3</v>
      </c>
      <c r="P190" s="504">
        <v>0.06</v>
      </c>
      <c r="Q190" s="504">
        <v>0</v>
      </c>
      <c r="R190" s="649">
        <f t="shared" si="70"/>
        <v>0</v>
      </c>
      <c r="S190" s="504">
        <f t="shared" si="76"/>
        <v>0</v>
      </c>
      <c r="T190" s="504">
        <v>0</v>
      </c>
      <c r="U190" s="504">
        <f t="shared" si="71"/>
        <v>0</v>
      </c>
      <c r="V190" s="504">
        <f t="shared" si="72"/>
        <v>1</v>
      </c>
      <c r="W190" s="504">
        <f t="shared" si="73"/>
        <v>1.475963927441613E-2</v>
      </c>
      <c r="X190" s="504">
        <f t="shared" si="77"/>
        <v>0.3</v>
      </c>
      <c r="Y190" s="504">
        <f t="shared" si="78"/>
        <v>1</v>
      </c>
      <c r="Z190" s="504">
        <f t="shared" si="79"/>
        <v>1.475963927441613E-2</v>
      </c>
      <c r="AA190" s="504">
        <f t="shared" si="74"/>
        <v>100</v>
      </c>
      <c r="AB190" s="504">
        <v>0.3</v>
      </c>
      <c r="AC190" s="504">
        <f t="shared" si="80"/>
        <v>100</v>
      </c>
      <c r="AD190" s="504"/>
      <c r="AE190" s="508"/>
      <c r="AF190" s="504"/>
      <c r="AG190" s="504"/>
      <c r="AH190" s="504"/>
      <c r="AI190" s="504"/>
      <c r="AJ190" s="504"/>
      <c r="AK190" s="504"/>
      <c r="AL190" s="504"/>
      <c r="AM190" s="504"/>
      <c r="AN190" s="504"/>
      <c r="AO190" s="504"/>
      <c r="AP190" s="504"/>
      <c r="AQ190" s="504"/>
      <c r="AR190" s="505"/>
      <c r="AS190" s="505"/>
      <c r="AT190" s="507"/>
      <c r="AU190" s="693">
        <f>'[2]3rd Trimester Progress(Pradesh '!AB190</f>
        <v>0.3</v>
      </c>
      <c r="AV190" s="693">
        <f t="shared" si="81"/>
        <v>0</v>
      </c>
      <c r="AW190" s="305"/>
      <c r="AX190" s="698">
        <f>'[2]3rd Trimester Progress(Pradesh '!Q190</f>
        <v>3</v>
      </c>
      <c r="AY190" s="698">
        <f t="shared" si="82"/>
        <v>-2</v>
      </c>
      <c r="AZ190" s="305"/>
      <c r="BA190" s="305"/>
      <c r="BB190" s="305"/>
      <c r="BC190" s="305"/>
      <c r="BD190" s="305"/>
    </row>
    <row r="191" spans="1:56" s="306" customFormat="1" ht="24">
      <c r="A191" s="433" t="s">
        <v>1166</v>
      </c>
      <c r="B191" s="697" t="s">
        <v>1165</v>
      </c>
      <c r="C191" s="666" t="s">
        <v>858</v>
      </c>
      <c r="D191" s="284"/>
      <c r="E191" s="284"/>
      <c r="F191" s="284"/>
      <c r="G191" s="284"/>
      <c r="H191" s="284"/>
      <c r="I191" s="284"/>
      <c r="J191" s="504">
        <v>1</v>
      </c>
      <c r="K191" s="504">
        <f t="shared" si="68"/>
        <v>5.9038557097664521E-2</v>
      </c>
      <c r="L191" s="506">
        <v>1.2</v>
      </c>
      <c r="M191" s="506">
        <f t="shared" si="75"/>
        <v>1.2</v>
      </c>
      <c r="N191" s="504">
        <v>1</v>
      </c>
      <c r="O191" s="504">
        <f t="shared" si="69"/>
        <v>1.475963927441613E-2</v>
      </c>
      <c r="P191" s="504">
        <v>0.3</v>
      </c>
      <c r="Q191" s="504">
        <v>0.59</v>
      </c>
      <c r="R191" s="649">
        <f t="shared" si="70"/>
        <v>8.7081871719055168E-3</v>
      </c>
      <c r="S191" s="504">
        <f t="shared" si="76"/>
        <v>59</v>
      </c>
      <c r="T191" s="504">
        <v>0.7</v>
      </c>
      <c r="U191" s="504">
        <f t="shared" si="71"/>
        <v>233.33333333333334</v>
      </c>
      <c r="V191" s="504">
        <f t="shared" si="72"/>
        <v>1</v>
      </c>
      <c r="W191" s="504">
        <f t="shared" si="73"/>
        <v>5.9038557097664521E-2</v>
      </c>
      <c r="X191" s="504">
        <f t="shared" si="77"/>
        <v>1.2</v>
      </c>
      <c r="Y191" s="504">
        <f t="shared" si="78"/>
        <v>0.59</v>
      </c>
      <c r="Z191" s="504">
        <f t="shared" si="79"/>
        <v>3.4832748687622067E-2</v>
      </c>
      <c r="AA191" s="504">
        <f t="shared" si="74"/>
        <v>59</v>
      </c>
      <c r="AB191" s="504">
        <v>0.7</v>
      </c>
      <c r="AC191" s="504">
        <f t="shared" si="80"/>
        <v>58.333333333333336</v>
      </c>
      <c r="AD191" s="504"/>
      <c r="AE191" s="508"/>
      <c r="AF191" s="504"/>
      <c r="AG191" s="504"/>
      <c r="AH191" s="504"/>
      <c r="AI191" s="504"/>
      <c r="AJ191" s="504"/>
      <c r="AK191" s="504"/>
      <c r="AL191" s="504"/>
      <c r="AM191" s="504"/>
      <c r="AN191" s="504"/>
      <c r="AO191" s="504"/>
      <c r="AP191" s="504"/>
      <c r="AQ191" s="504"/>
      <c r="AR191" s="505"/>
      <c r="AS191" s="505"/>
      <c r="AT191" s="507"/>
      <c r="AU191" s="693">
        <f>'[2]3rd Trimester Progress(Pradesh '!AB191</f>
        <v>0</v>
      </c>
      <c r="AV191" s="693">
        <f t="shared" si="81"/>
        <v>0.7</v>
      </c>
      <c r="AW191" s="305"/>
      <c r="AX191" s="698">
        <f>'[2]3rd Trimester Progress(Pradesh '!Q191</f>
        <v>0</v>
      </c>
      <c r="AY191" s="698">
        <f t="shared" si="82"/>
        <v>0.59</v>
      </c>
      <c r="AZ191" s="305"/>
      <c r="BA191" s="305"/>
      <c r="BB191" s="305"/>
      <c r="BC191" s="305"/>
      <c r="BD191" s="305"/>
    </row>
    <row r="192" spans="1:56" s="306" customFormat="1" ht="48">
      <c r="A192" s="433" t="s">
        <v>1167</v>
      </c>
      <c r="B192" s="701" t="s">
        <v>836</v>
      </c>
      <c r="C192" s="667" t="s">
        <v>795</v>
      </c>
      <c r="D192" s="284"/>
      <c r="E192" s="284"/>
      <c r="F192" s="284"/>
      <c r="G192" s="284"/>
      <c r="H192" s="284"/>
      <c r="I192" s="284"/>
      <c r="J192" s="504">
        <v>1</v>
      </c>
      <c r="K192" s="504">
        <f t="shared" si="68"/>
        <v>3.3455182355343234E-2</v>
      </c>
      <c r="L192" s="506">
        <v>0.68</v>
      </c>
      <c r="M192" s="506">
        <f t="shared" si="75"/>
        <v>0.68</v>
      </c>
      <c r="N192" s="504">
        <v>1</v>
      </c>
      <c r="O192" s="504">
        <f t="shared" si="69"/>
        <v>8.3637955888358085E-3</v>
      </c>
      <c r="P192" s="504">
        <v>0.17</v>
      </c>
      <c r="Q192" s="504">
        <v>0.25640000000000002</v>
      </c>
      <c r="R192" s="649">
        <f t="shared" si="70"/>
        <v>2.1444771889775013E-3</v>
      </c>
      <c r="S192" s="504">
        <f t="shared" si="76"/>
        <v>25.64</v>
      </c>
      <c r="T192" s="504">
        <v>0.17400000000000004</v>
      </c>
      <c r="U192" s="504">
        <f t="shared" si="71"/>
        <v>102.35294117647061</v>
      </c>
      <c r="V192" s="504">
        <f t="shared" si="72"/>
        <v>1</v>
      </c>
      <c r="W192" s="504">
        <f t="shared" si="73"/>
        <v>3.3455182355343234E-2</v>
      </c>
      <c r="X192" s="504">
        <f t="shared" si="77"/>
        <v>0.68</v>
      </c>
      <c r="Y192" s="504">
        <f t="shared" si="78"/>
        <v>0.98</v>
      </c>
      <c r="Z192" s="504">
        <f t="shared" si="79"/>
        <v>3.2786078708236369E-2</v>
      </c>
      <c r="AA192" s="504">
        <f t="shared" si="74"/>
        <v>98</v>
      </c>
      <c r="AB192" s="504">
        <v>0.66400000000000003</v>
      </c>
      <c r="AC192" s="504">
        <f t="shared" si="80"/>
        <v>97.647058823529406</v>
      </c>
      <c r="AD192" s="504"/>
      <c r="AE192" s="508"/>
      <c r="AF192" s="504"/>
      <c r="AG192" s="504"/>
      <c r="AH192" s="504"/>
      <c r="AI192" s="504"/>
      <c r="AJ192" s="504"/>
      <c r="AK192" s="504"/>
      <c r="AL192" s="504"/>
      <c r="AM192" s="504"/>
      <c r="AN192" s="504"/>
      <c r="AO192" s="504"/>
      <c r="AP192" s="504"/>
      <c r="AQ192" s="504"/>
      <c r="AR192" s="505"/>
      <c r="AS192" s="505"/>
      <c r="AT192" s="507"/>
      <c r="AU192" s="693">
        <f>'[2]3rd Trimester Progress(Pradesh '!AB192</f>
        <v>0.49</v>
      </c>
      <c r="AV192" s="693">
        <f t="shared" si="81"/>
        <v>0.17400000000000004</v>
      </c>
      <c r="AW192" s="305"/>
      <c r="AX192" s="698">
        <f>'[2]3rd Trimester Progress(Pradesh '!Q192</f>
        <v>10.09</v>
      </c>
      <c r="AY192" s="698">
        <f t="shared" si="82"/>
        <v>-9.11</v>
      </c>
      <c r="AZ192" s="305"/>
      <c r="BA192" s="305"/>
      <c r="BB192" s="305"/>
      <c r="BC192" s="305"/>
      <c r="BD192" s="305"/>
    </row>
    <row r="193" spans="1:56" s="306" customFormat="1" ht="24">
      <c r="A193" s="433" t="s">
        <v>852</v>
      </c>
      <c r="B193" s="702" t="s">
        <v>1168</v>
      </c>
      <c r="C193" s="667" t="s">
        <v>795</v>
      </c>
      <c r="D193" s="284"/>
      <c r="E193" s="284"/>
      <c r="F193" s="284"/>
      <c r="G193" s="284"/>
      <c r="H193" s="284"/>
      <c r="I193" s="284"/>
      <c r="J193" s="504">
        <v>1</v>
      </c>
      <c r="K193" s="504">
        <f t="shared" si="68"/>
        <v>0.19285928651903747</v>
      </c>
      <c r="L193" s="506">
        <v>3.92</v>
      </c>
      <c r="M193" s="506">
        <f t="shared" si="75"/>
        <v>3.92</v>
      </c>
      <c r="N193" s="504">
        <v>1</v>
      </c>
      <c r="O193" s="504">
        <f t="shared" si="69"/>
        <v>4.8214821629759368E-2</v>
      </c>
      <c r="P193" s="504">
        <v>0.98</v>
      </c>
      <c r="Q193" s="504">
        <v>1.9999999999999574E-2</v>
      </c>
      <c r="R193" s="649">
        <f t="shared" si="70"/>
        <v>9.6429643259516684E-4</v>
      </c>
      <c r="S193" s="504">
        <f t="shared" si="76"/>
        <v>2</v>
      </c>
      <c r="T193" s="504">
        <v>6.1499999999998778E-3</v>
      </c>
      <c r="U193" s="504">
        <f t="shared" si="71"/>
        <v>0.62755102040815081</v>
      </c>
      <c r="V193" s="504">
        <f t="shared" si="72"/>
        <v>1</v>
      </c>
      <c r="W193" s="504">
        <f t="shared" si="73"/>
        <v>0.19285928651903747</v>
      </c>
      <c r="X193" s="504">
        <f t="shared" si="77"/>
        <v>3.92</v>
      </c>
      <c r="Y193" s="504">
        <f t="shared" si="78"/>
        <v>1</v>
      </c>
      <c r="Z193" s="504">
        <f t="shared" si="79"/>
        <v>0.19285928651903747</v>
      </c>
      <c r="AA193" s="504">
        <f t="shared" si="74"/>
        <v>100</v>
      </c>
      <c r="AB193" s="504">
        <v>3.91615</v>
      </c>
      <c r="AC193" s="504">
        <f t="shared" si="80"/>
        <v>99.901785714285722</v>
      </c>
      <c r="AD193" s="504"/>
      <c r="AE193" s="508"/>
      <c r="AF193" s="504"/>
      <c r="AG193" s="504"/>
      <c r="AH193" s="504"/>
      <c r="AI193" s="504"/>
      <c r="AJ193" s="504"/>
      <c r="AK193" s="504"/>
      <c r="AL193" s="504"/>
      <c r="AM193" s="504"/>
      <c r="AN193" s="504"/>
      <c r="AO193" s="504"/>
      <c r="AP193" s="504"/>
      <c r="AQ193" s="504"/>
      <c r="AR193" s="505"/>
      <c r="AS193" s="505"/>
      <c r="AT193" s="507"/>
      <c r="AU193" s="693">
        <f>'[2]3rd Trimester Progress(Pradesh '!AB193</f>
        <v>3.91</v>
      </c>
      <c r="AV193" s="693">
        <f t="shared" si="81"/>
        <v>6.1499999999998778E-3</v>
      </c>
      <c r="AW193" s="305"/>
      <c r="AX193" s="698">
        <f>'[2]3rd Trimester Progress(Pradesh '!Q193</f>
        <v>13.97</v>
      </c>
      <c r="AY193" s="698">
        <f t="shared" si="82"/>
        <v>-12.97</v>
      </c>
      <c r="AZ193" s="305"/>
      <c r="BA193" s="305"/>
      <c r="BB193" s="305"/>
      <c r="BC193" s="305"/>
      <c r="BD193" s="305"/>
    </row>
    <row r="194" spans="1:56" s="306" customFormat="1" ht="24">
      <c r="A194" s="433" t="s">
        <v>1169</v>
      </c>
      <c r="B194" s="697" t="s">
        <v>1170</v>
      </c>
      <c r="C194" s="667" t="s">
        <v>795</v>
      </c>
      <c r="D194" s="284"/>
      <c r="E194" s="284"/>
      <c r="F194" s="284"/>
      <c r="G194" s="284"/>
      <c r="H194" s="284"/>
      <c r="I194" s="284"/>
      <c r="J194" s="504">
        <v>1</v>
      </c>
      <c r="K194" s="504">
        <f t="shared" si="68"/>
        <v>4.4278917823248394E-2</v>
      </c>
      <c r="L194" s="506">
        <v>0.9</v>
      </c>
      <c r="M194" s="506">
        <f t="shared" si="75"/>
        <v>0.9</v>
      </c>
      <c r="N194" s="504">
        <v>1</v>
      </c>
      <c r="O194" s="504">
        <f t="shared" si="69"/>
        <v>1.0331747492091292E-2</v>
      </c>
      <c r="P194" s="504">
        <v>0.21</v>
      </c>
      <c r="Q194" s="504">
        <v>5.0000000000000266E-2</v>
      </c>
      <c r="R194" s="649">
        <f t="shared" si="70"/>
        <v>5.165873746045673E-4</v>
      </c>
      <c r="S194" s="504">
        <f t="shared" si="76"/>
        <v>5</v>
      </c>
      <c r="T194" s="504">
        <v>7.5000000000000067E-3</v>
      </c>
      <c r="U194" s="504">
        <f t="shared" si="71"/>
        <v>3.5714285714285747</v>
      </c>
      <c r="V194" s="504">
        <f t="shared" si="72"/>
        <v>1</v>
      </c>
      <c r="W194" s="504">
        <f t="shared" si="73"/>
        <v>4.4278917823248394E-2</v>
      </c>
      <c r="X194" s="504">
        <f t="shared" si="77"/>
        <v>0.9</v>
      </c>
      <c r="Y194" s="504">
        <f t="shared" si="78"/>
        <v>0.54</v>
      </c>
      <c r="Z194" s="504">
        <f t="shared" si="79"/>
        <v>2.3910615624554134E-2</v>
      </c>
      <c r="AA194" s="504">
        <f t="shared" si="74"/>
        <v>54</v>
      </c>
      <c r="AB194" s="649">
        <v>0.47749999999999998</v>
      </c>
      <c r="AC194" s="504">
        <f t="shared" si="80"/>
        <v>53.055555555555557</v>
      </c>
      <c r="AD194" s="504"/>
      <c r="AE194" s="508"/>
      <c r="AF194" s="504"/>
      <c r="AG194" s="504"/>
      <c r="AH194" s="504"/>
      <c r="AI194" s="504"/>
      <c r="AJ194" s="504"/>
      <c r="AK194" s="504"/>
      <c r="AL194" s="504"/>
      <c r="AM194" s="504"/>
      <c r="AN194" s="504"/>
      <c r="AO194" s="504"/>
      <c r="AP194" s="504"/>
      <c r="AQ194" s="504"/>
      <c r="AR194" s="505"/>
      <c r="AS194" s="505"/>
      <c r="AT194" s="507"/>
      <c r="AU194" s="693">
        <f>'[2]3rd Trimester Progress(Pradesh '!AB194</f>
        <v>0.47</v>
      </c>
      <c r="AV194" s="693">
        <f t="shared" si="81"/>
        <v>7.5000000000000067E-3</v>
      </c>
      <c r="AW194" s="305"/>
      <c r="AX194" s="698">
        <f>'[2]3rd Trimester Progress(Pradesh '!Q194</f>
        <v>3.1399999999999997</v>
      </c>
      <c r="AY194" s="698">
        <f t="shared" si="82"/>
        <v>-2.5999999999999996</v>
      </c>
      <c r="AZ194" s="305"/>
      <c r="BA194" s="305"/>
      <c r="BB194" s="305"/>
      <c r="BC194" s="305"/>
      <c r="BD194" s="305"/>
    </row>
    <row r="195" spans="1:56" s="306" customFormat="1" ht="24">
      <c r="A195" s="433" t="s">
        <v>853</v>
      </c>
      <c r="B195" s="697" t="s">
        <v>1171</v>
      </c>
      <c r="C195" s="666" t="s">
        <v>1174</v>
      </c>
      <c r="D195" s="284"/>
      <c r="E195" s="284"/>
      <c r="F195" s="284"/>
      <c r="G195" s="284"/>
      <c r="H195" s="284"/>
      <c r="I195" s="284"/>
      <c r="J195" s="504">
        <v>1</v>
      </c>
      <c r="K195" s="504">
        <f t="shared" si="68"/>
        <v>0.10233349896928519</v>
      </c>
      <c r="L195" s="506">
        <v>2.08</v>
      </c>
      <c r="M195" s="506">
        <f t="shared" si="75"/>
        <v>2.08</v>
      </c>
      <c r="N195" s="504">
        <v>1</v>
      </c>
      <c r="O195" s="504">
        <f t="shared" si="69"/>
        <v>2.5583374742321297E-2</v>
      </c>
      <c r="P195" s="504">
        <v>0.52</v>
      </c>
      <c r="Q195" s="504">
        <v>0</v>
      </c>
      <c r="R195" s="649">
        <f t="shared" si="70"/>
        <v>0</v>
      </c>
      <c r="S195" s="504">
        <f t="shared" si="76"/>
        <v>0</v>
      </c>
      <c r="T195" s="504">
        <v>0</v>
      </c>
      <c r="U195" s="504">
        <f t="shared" si="71"/>
        <v>0</v>
      </c>
      <c r="V195" s="504">
        <f t="shared" si="72"/>
        <v>1</v>
      </c>
      <c r="W195" s="504">
        <f t="shared" si="73"/>
        <v>0.10233349896928519</v>
      </c>
      <c r="X195" s="504">
        <f t="shared" si="77"/>
        <v>2.08</v>
      </c>
      <c r="Y195" s="504">
        <f t="shared" si="78"/>
        <v>0.85</v>
      </c>
      <c r="Z195" s="504">
        <f t="shared" si="79"/>
        <v>8.6983474123892401E-2</v>
      </c>
      <c r="AA195" s="504">
        <f t="shared" si="74"/>
        <v>85</v>
      </c>
      <c r="AB195" s="504">
        <v>1.75</v>
      </c>
      <c r="AC195" s="504">
        <f t="shared" si="80"/>
        <v>84.134615384615387</v>
      </c>
      <c r="AD195" s="504"/>
      <c r="AE195" s="508"/>
      <c r="AF195" s="504"/>
      <c r="AG195" s="504"/>
      <c r="AH195" s="504"/>
      <c r="AI195" s="504"/>
      <c r="AJ195" s="504"/>
      <c r="AK195" s="504"/>
      <c r="AL195" s="504"/>
      <c r="AM195" s="504"/>
      <c r="AN195" s="504"/>
      <c r="AO195" s="504"/>
      <c r="AP195" s="504"/>
      <c r="AQ195" s="504"/>
      <c r="AR195" s="505"/>
      <c r="AS195" s="505"/>
      <c r="AT195" s="507"/>
      <c r="AU195" s="693">
        <f>'[2]3rd Trimester Progress(Pradesh '!AB195</f>
        <v>1.75</v>
      </c>
      <c r="AV195" s="693">
        <f t="shared" si="81"/>
        <v>0</v>
      </c>
      <c r="AW195" s="305"/>
      <c r="AX195" s="698">
        <f>'[2]3rd Trimester Progress(Pradesh '!Q195</f>
        <v>13.47</v>
      </c>
      <c r="AY195" s="698">
        <f t="shared" si="82"/>
        <v>-12.620000000000001</v>
      </c>
      <c r="AZ195" s="305"/>
      <c r="BA195" s="305"/>
      <c r="BB195" s="305"/>
      <c r="BC195" s="305"/>
      <c r="BD195" s="305"/>
    </row>
    <row r="196" spans="1:56" s="306" customFormat="1" ht="24">
      <c r="A196" s="433" t="s">
        <v>1173</v>
      </c>
      <c r="B196" s="697" t="s">
        <v>1172</v>
      </c>
      <c r="C196" s="667" t="s">
        <v>795</v>
      </c>
      <c r="D196" s="284"/>
      <c r="E196" s="284"/>
      <c r="F196" s="284"/>
      <c r="G196" s="284"/>
      <c r="H196" s="284"/>
      <c r="I196" s="284"/>
      <c r="J196" s="504">
        <v>1</v>
      </c>
      <c r="K196" s="504">
        <f t="shared" si="68"/>
        <v>0.1377566332278839</v>
      </c>
      <c r="L196" s="506">
        <v>2.8</v>
      </c>
      <c r="M196" s="506">
        <f t="shared" si="75"/>
        <v>2.8</v>
      </c>
      <c r="N196" s="504">
        <v>1</v>
      </c>
      <c r="O196" s="504">
        <f t="shared" si="69"/>
        <v>3.4439158306970974E-2</v>
      </c>
      <c r="P196" s="504">
        <v>0.7</v>
      </c>
      <c r="Q196" s="504">
        <v>0.26</v>
      </c>
      <c r="R196" s="649">
        <f t="shared" si="70"/>
        <v>8.9541811598124535E-3</v>
      </c>
      <c r="S196" s="504">
        <f t="shared" si="76"/>
        <v>26</v>
      </c>
      <c r="T196" s="504">
        <v>0.72850000000000037</v>
      </c>
      <c r="U196" s="504">
        <f t="shared" si="71"/>
        <v>104.07142857142864</v>
      </c>
      <c r="V196" s="504">
        <f t="shared" si="72"/>
        <v>1</v>
      </c>
      <c r="W196" s="504">
        <f t="shared" si="73"/>
        <v>0.1377566332278839</v>
      </c>
      <c r="X196" s="504">
        <f t="shared" si="77"/>
        <v>2.8</v>
      </c>
      <c r="Y196" s="504">
        <f t="shared" si="78"/>
        <v>1</v>
      </c>
      <c r="Z196" s="504">
        <f t="shared" si="79"/>
        <v>0.1377566332278839</v>
      </c>
      <c r="AA196" s="504">
        <f t="shared" si="74"/>
        <v>100</v>
      </c>
      <c r="AB196" s="649">
        <v>2.7985000000000002</v>
      </c>
      <c r="AC196" s="504">
        <f t="shared" si="80"/>
        <v>99.946428571428584</v>
      </c>
      <c r="AD196" s="504"/>
      <c r="AE196" s="508"/>
      <c r="AF196" s="504"/>
      <c r="AG196" s="504"/>
      <c r="AH196" s="504"/>
      <c r="AI196" s="504"/>
      <c r="AJ196" s="504"/>
      <c r="AK196" s="504"/>
      <c r="AL196" s="504"/>
      <c r="AM196" s="504"/>
      <c r="AN196" s="504"/>
      <c r="AO196" s="504"/>
      <c r="AP196" s="504"/>
      <c r="AQ196" s="504"/>
      <c r="AR196" s="505"/>
      <c r="AS196" s="505"/>
      <c r="AT196" s="507"/>
      <c r="AU196" s="693">
        <f>'[2]3rd Trimester Progress(Pradesh '!AB196</f>
        <v>2.0699999999999998</v>
      </c>
      <c r="AV196" s="693">
        <f t="shared" si="81"/>
        <v>0.72850000000000037</v>
      </c>
      <c r="AW196" s="305"/>
      <c r="AX196" s="698">
        <f>'[2]3rd Trimester Progress(Pradesh '!Q196</f>
        <v>14.79</v>
      </c>
      <c r="AY196" s="698">
        <f t="shared" si="82"/>
        <v>-13.79</v>
      </c>
      <c r="AZ196" s="305"/>
      <c r="BA196" s="305"/>
      <c r="BB196" s="305"/>
      <c r="BC196" s="305"/>
      <c r="BD196" s="305"/>
    </row>
    <row r="197" spans="1:56" s="306" customFormat="1" ht="24">
      <c r="A197" s="668"/>
      <c r="B197" s="662" t="s">
        <v>855</v>
      </c>
      <c r="C197" s="667"/>
      <c r="D197" s="284"/>
      <c r="E197" s="284"/>
      <c r="F197" s="284"/>
      <c r="G197" s="284"/>
      <c r="H197" s="284"/>
      <c r="I197" s="284"/>
      <c r="J197" s="459"/>
      <c r="K197" s="514">
        <f>SUM(K166:K196)</f>
        <v>7.9588894847409923</v>
      </c>
      <c r="L197" s="515">
        <f>SUM(L166:L196)</f>
        <v>161.77000000000001</v>
      </c>
      <c r="M197" s="669">
        <f>SUM(M166:M196)</f>
        <v>161.77000000000001</v>
      </c>
      <c r="N197" s="516"/>
      <c r="O197" s="515">
        <f>SUM(O166:O196)</f>
        <v>2.0260064844015213</v>
      </c>
      <c r="P197" s="515">
        <f>SUM(P166:P196)</f>
        <v>41.18</v>
      </c>
      <c r="Q197" s="516"/>
      <c r="R197" s="515">
        <f>SUM(R166:R196)</f>
        <v>0.45051358624795212</v>
      </c>
      <c r="S197" s="514">
        <f>R197/O197*100</f>
        <v>22.236532297231665</v>
      </c>
      <c r="T197" s="515">
        <f>SUM(T166:T196)</f>
        <v>32.153549999999996</v>
      </c>
      <c r="U197" s="514">
        <f>T197/P197%</f>
        <v>78.080500242836322</v>
      </c>
      <c r="V197" s="516"/>
      <c r="W197" s="515">
        <f>SUM(W166:W196)</f>
        <v>7.9588894847409923</v>
      </c>
      <c r="X197" s="515">
        <f>SUM(X166:X196)</f>
        <v>161.77000000000001</v>
      </c>
      <c r="Y197" s="516"/>
      <c r="Z197" s="515">
        <f>SUM(Z166:Z196)</f>
        <v>7.8350462714691229</v>
      </c>
      <c r="AA197" s="514">
        <f>Z197/W197*100</f>
        <v>98.443963652098631</v>
      </c>
      <c r="AB197" s="515">
        <f>SUM(AB166:AB196)</f>
        <v>158.80354999999994</v>
      </c>
      <c r="AC197" s="514">
        <f>AB197/X197%</f>
        <v>98.16625455894166</v>
      </c>
      <c r="AD197" s="458"/>
      <c r="AE197" s="518"/>
      <c r="AF197" s="458"/>
      <c r="AG197" s="458"/>
      <c r="AH197" s="458"/>
      <c r="AI197" s="458"/>
      <c r="AJ197" s="458"/>
      <c r="AK197" s="458"/>
      <c r="AL197" s="458"/>
      <c r="AM197" s="458"/>
      <c r="AN197" s="458"/>
      <c r="AO197" s="458"/>
      <c r="AP197" s="458"/>
      <c r="AQ197" s="458"/>
      <c r="AR197" s="459"/>
      <c r="AS197" s="459"/>
      <c r="AT197" s="519"/>
      <c r="AU197" s="696">
        <f>SUM(AU166:AU196)</f>
        <v>126.64999999999998</v>
      </c>
      <c r="AV197" s="696">
        <f>SUM(AV166:AV196)</f>
        <v>32.153549999999996</v>
      </c>
      <c r="AW197" s="305"/>
      <c r="AX197" s="305"/>
      <c r="AY197" s="305"/>
      <c r="AZ197" s="305"/>
      <c r="BA197" s="305"/>
      <c r="BB197" s="305"/>
      <c r="BC197" s="305"/>
      <c r="BD197" s="305"/>
    </row>
    <row r="198" spans="1:56" s="306" customFormat="1" ht="24.75">
      <c r="A198" s="670"/>
      <c r="B198" s="671" t="s">
        <v>856</v>
      </c>
      <c r="C198" s="672"/>
      <c r="D198" s="416"/>
      <c r="E198" s="416"/>
      <c r="F198" s="416"/>
      <c r="G198" s="416"/>
      <c r="H198" s="416"/>
      <c r="I198" s="416"/>
      <c r="J198" s="520"/>
      <c r="K198" s="521">
        <f>K164+K197</f>
        <v>100.00000000000004</v>
      </c>
      <c r="L198" s="521">
        <f>L197+L164</f>
        <v>2032.5700000000002</v>
      </c>
      <c r="M198" s="521">
        <f>M197+M164</f>
        <v>2032.5700000000002</v>
      </c>
      <c r="N198" s="459"/>
      <c r="O198" s="521">
        <f>O164+O197</f>
        <v>41.179885563596784</v>
      </c>
      <c r="P198" s="521">
        <f>P197+P164</f>
        <v>837.01</v>
      </c>
      <c r="Q198" s="459"/>
      <c r="R198" s="521">
        <f>R164+R197</f>
        <v>25.568246308860203</v>
      </c>
      <c r="S198" s="517">
        <f>R198/O198*100</f>
        <v>62.089163092436216</v>
      </c>
      <c r="T198" s="522">
        <f>T197+T164</f>
        <v>924.04996999999992</v>
      </c>
      <c r="U198" s="514">
        <f>T198/P198%</f>
        <v>110.39891638092733</v>
      </c>
      <c r="V198" s="459"/>
      <c r="W198" s="521">
        <f>W164+W197</f>
        <v>100.00000000000004</v>
      </c>
      <c r="X198" s="521">
        <f>X197+X164</f>
        <v>2032.5700000000002</v>
      </c>
      <c r="Y198" s="459"/>
      <c r="Z198" s="521">
        <f>Z164+Z197</f>
        <v>97.293219913705343</v>
      </c>
      <c r="AA198" s="517">
        <f>Z198/W198*100</f>
        <v>97.2932199137053</v>
      </c>
      <c r="AB198" s="522">
        <f>AB197+AB164</f>
        <v>1937.7548599999998</v>
      </c>
      <c r="AC198" s="514">
        <f>AB198/X198%</f>
        <v>95.335209119489107</v>
      </c>
      <c r="AD198" s="458"/>
      <c r="AE198" s="518"/>
      <c r="AF198" s="458"/>
      <c r="AG198" s="458"/>
      <c r="AH198" s="458"/>
      <c r="AI198" s="458"/>
      <c r="AJ198" s="458"/>
      <c r="AK198" s="458"/>
      <c r="AL198" s="458"/>
      <c r="AM198" s="458"/>
      <c r="AN198" s="458"/>
      <c r="AO198" s="458"/>
      <c r="AP198" s="458"/>
      <c r="AQ198" s="458"/>
      <c r="AR198" s="459"/>
      <c r="AS198" s="459"/>
      <c r="AT198" s="519"/>
      <c r="AU198" s="305"/>
      <c r="AV198" s="305"/>
      <c r="AW198" s="305"/>
      <c r="AX198" s="305"/>
      <c r="AY198" s="305"/>
      <c r="AZ198" s="305"/>
      <c r="BA198" s="305"/>
      <c r="BB198" s="305"/>
      <c r="BC198" s="305"/>
      <c r="BD198" s="305"/>
    </row>
    <row r="199" spans="1:56" s="263" customFormat="1" ht="19.5">
      <c r="A199" s="673"/>
      <c r="B199" s="674"/>
      <c r="C199" s="675"/>
      <c r="D199" s="390"/>
      <c r="E199" s="390"/>
      <c r="F199" s="390"/>
      <c r="G199" s="390"/>
      <c r="H199" s="390"/>
      <c r="I199" s="390"/>
      <c r="J199" s="390"/>
      <c r="K199" s="617"/>
      <c r="L199" s="617"/>
      <c r="M199" s="391"/>
      <c r="N199" s="391"/>
      <c r="O199" s="391"/>
      <c r="P199" s="391"/>
      <c r="Q199" s="391"/>
      <c r="R199" s="650"/>
      <c r="S199" s="391"/>
      <c r="T199" s="391"/>
      <c r="U199" s="391"/>
      <c r="V199" s="390"/>
      <c r="W199" s="390"/>
      <c r="X199" s="676">
        <f>X198-AB198</f>
        <v>94.815140000000383</v>
      </c>
      <c r="Y199" s="390"/>
      <c r="Z199" s="390"/>
      <c r="AA199" s="390"/>
      <c r="AB199" s="390"/>
      <c r="AC199" s="390"/>
      <c r="AD199" s="390"/>
      <c r="AE199" s="390"/>
      <c r="AF199" s="390"/>
      <c r="AG199" s="390"/>
      <c r="AH199" s="390"/>
      <c r="AI199" s="390"/>
      <c r="AJ199" s="390"/>
      <c r="AK199" s="390"/>
      <c r="AL199" s="390"/>
      <c r="AM199" s="390"/>
      <c r="AN199" s="390"/>
      <c r="AO199" s="390"/>
      <c r="AP199" s="390"/>
      <c r="AQ199" s="677"/>
      <c r="AR199" s="677"/>
      <c r="AS199" s="677"/>
      <c r="AT199" s="678"/>
    </row>
    <row r="200" spans="1:56" s="263" customFormat="1" ht="19.5" hidden="1">
      <c r="A200" s="679"/>
      <c r="C200" s="680"/>
      <c r="D200" s="257"/>
      <c r="E200" s="257"/>
      <c r="F200" s="257"/>
      <c r="G200" s="257"/>
      <c r="H200" s="257"/>
      <c r="I200" s="257"/>
      <c r="J200" s="257"/>
      <c r="K200" s="257"/>
      <c r="L200" s="321"/>
      <c r="M200" s="321"/>
      <c r="N200" s="321"/>
      <c r="O200" s="321"/>
      <c r="P200" s="321"/>
      <c r="Q200" s="321"/>
      <c r="R200" s="321"/>
      <c r="S200" s="321"/>
      <c r="T200" s="321"/>
      <c r="U200" s="321"/>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681"/>
    </row>
    <row r="201" spans="1:56" s="263" customFormat="1" ht="19.5" hidden="1">
      <c r="A201" s="679"/>
      <c r="C201" s="680"/>
      <c r="D201" s="257"/>
      <c r="E201" s="257"/>
      <c r="F201" s="257"/>
      <c r="G201" s="257"/>
      <c r="H201" s="257"/>
      <c r="I201" s="257"/>
      <c r="J201" s="257"/>
      <c r="K201" s="257"/>
      <c r="L201" s="321"/>
      <c r="M201" s="321"/>
      <c r="N201" s="321"/>
      <c r="O201" s="321"/>
      <c r="P201" s="321"/>
      <c r="Q201" s="321"/>
      <c r="R201" s="321"/>
      <c r="S201" s="321"/>
      <c r="T201" s="321"/>
      <c r="U201" s="321"/>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681"/>
    </row>
    <row r="202" spans="1:56" s="263" customFormat="1" ht="19.5" hidden="1">
      <c r="A202" s="679"/>
      <c r="B202" s="682" t="s">
        <v>750</v>
      </c>
      <c r="C202" s="683"/>
      <c r="D202" s="261"/>
      <c r="E202" s="261"/>
      <c r="F202" s="261"/>
      <c r="G202" s="261"/>
      <c r="H202" s="261"/>
      <c r="I202" s="261"/>
      <c r="J202" s="260"/>
      <c r="K202" s="261"/>
      <c r="L202" s="322"/>
      <c r="M202" s="322"/>
      <c r="N202" s="322"/>
      <c r="O202" s="322"/>
      <c r="P202" s="322"/>
      <c r="Q202" s="322"/>
      <c r="R202" s="322"/>
      <c r="S202" s="322"/>
      <c r="T202" s="322"/>
      <c r="U202" s="322"/>
      <c r="V202" s="261"/>
      <c r="W202" s="261"/>
      <c r="X202" s="261"/>
      <c r="Y202" s="682" t="s">
        <v>770</v>
      </c>
      <c r="Z202" s="261"/>
      <c r="AA202" s="261"/>
      <c r="AB202" s="261"/>
      <c r="AC202" s="261"/>
      <c r="AD202" s="261"/>
      <c r="AE202" s="261"/>
      <c r="AF202" s="261"/>
      <c r="AG202" s="261"/>
      <c r="AH202" s="261"/>
      <c r="AI202" s="261"/>
      <c r="AJ202" s="261"/>
      <c r="AK202" s="261"/>
      <c r="AL202" s="261"/>
      <c r="AM202" s="261"/>
      <c r="AN202" s="261"/>
      <c r="AO202" s="261"/>
      <c r="AP202" s="261"/>
      <c r="AQ202" s="261"/>
      <c r="AT202" s="684"/>
    </row>
    <row r="203" spans="1:56" s="263" customFormat="1" ht="19.5" hidden="1">
      <c r="A203" s="685"/>
      <c r="B203" s="686" t="s">
        <v>751</v>
      </c>
      <c r="C203" s="687"/>
      <c r="D203" s="401"/>
      <c r="E203" s="401"/>
      <c r="F203" s="401"/>
      <c r="G203" s="401"/>
      <c r="H203" s="401"/>
      <c r="I203" s="401"/>
      <c r="J203" s="401"/>
      <c r="K203" s="401"/>
      <c r="L203" s="402"/>
      <c r="M203" s="402"/>
      <c r="N203" s="402"/>
      <c r="O203" s="402"/>
      <c r="P203" s="402"/>
      <c r="Q203" s="402"/>
      <c r="R203" s="402"/>
      <c r="S203" s="402"/>
      <c r="T203" s="402"/>
      <c r="U203" s="402"/>
      <c r="V203" s="401"/>
      <c r="W203" s="401"/>
      <c r="X203" s="401"/>
      <c r="Y203" s="686" t="s">
        <v>751</v>
      </c>
      <c r="Z203" s="403"/>
      <c r="AA203" s="401"/>
      <c r="AB203" s="401"/>
      <c r="AC203" s="401"/>
      <c r="AD203" s="401"/>
      <c r="AE203" s="401"/>
      <c r="AF203" s="401"/>
      <c r="AG203" s="401"/>
      <c r="AH203" s="401"/>
      <c r="AI203" s="401"/>
      <c r="AJ203" s="401"/>
      <c r="AK203" s="401"/>
      <c r="AL203" s="401"/>
      <c r="AM203" s="401"/>
      <c r="AN203" s="401"/>
      <c r="AO203" s="401"/>
      <c r="AP203" s="401"/>
      <c r="AQ203" s="401"/>
      <c r="AR203" s="401"/>
      <c r="AS203" s="401"/>
      <c r="AT203" s="688"/>
    </row>
    <row r="204" spans="1:56" s="263" customFormat="1" ht="19.5">
      <c r="C204" s="689"/>
      <c r="L204" s="465"/>
      <c r="M204" s="465"/>
      <c r="N204" s="465"/>
      <c r="O204" s="465"/>
      <c r="P204" s="465"/>
      <c r="Q204" s="465"/>
      <c r="R204" s="465"/>
      <c r="S204" s="465"/>
      <c r="T204" s="465"/>
      <c r="U204" s="465"/>
      <c r="AD204" s="263" t="s">
        <v>457</v>
      </c>
    </row>
    <row r="205" spans="1:56" s="263" customFormat="1" ht="19.5">
      <c r="C205" s="689"/>
      <c r="L205" s="465"/>
      <c r="M205" s="465"/>
      <c r="N205" s="465"/>
      <c r="O205" s="465"/>
      <c r="P205" s="465"/>
      <c r="Q205" s="465"/>
      <c r="R205" s="465"/>
      <c r="S205" s="465"/>
      <c r="T205" s="465"/>
      <c r="U205" s="465"/>
    </row>
    <row r="206" spans="1:56" s="263" customFormat="1" ht="19.5">
      <c r="C206" s="689"/>
      <c r="L206" s="465"/>
      <c r="M206" s="465"/>
      <c r="N206" s="465"/>
      <c r="O206" s="465"/>
      <c r="P206" s="465"/>
      <c r="Q206" s="465"/>
      <c r="R206" s="465"/>
      <c r="S206" s="465"/>
      <c r="T206" s="465"/>
      <c r="U206" s="465"/>
    </row>
    <row r="207" spans="1:56" s="263" customFormat="1" ht="19.5">
      <c r="C207" s="689"/>
      <c r="L207" s="465"/>
      <c r="M207" s="465"/>
      <c r="N207" s="465"/>
      <c r="O207" s="465"/>
      <c r="P207" s="465"/>
      <c r="Q207" s="465"/>
      <c r="R207" s="465"/>
      <c r="S207" s="465"/>
      <c r="T207" s="465"/>
      <c r="U207" s="465"/>
    </row>
    <row r="208" spans="1:56" ht="19.5">
      <c r="C208" s="689"/>
      <c r="D208" s="263"/>
      <c r="E208" s="263"/>
      <c r="F208" s="263"/>
      <c r="G208" s="263"/>
      <c r="H208" s="263"/>
      <c r="I208" s="263"/>
      <c r="J208" s="263"/>
      <c r="K208" s="263"/>
      <c r="L208" s="465"/>
      <c r="M208" s="465"/>
      <c r="N208" s="465"/>
      <c r="O208" s="465"/>
      <c r="P208" s="465"/>
      <c r="Q208" s="465"/>
      <c r="R208" s="465"/>
      <c r="S208" s="465"/>
      <c r="T208" s="465"/>
      <c r="U208" s="465"/>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c r="AS208" s="263"/>
      <c r="AT208" s="263"/>
      <c r="AU208" s="263"/>
      <c r="AV208" s="263"/>
      <c r="AW208" s="263"/>
      <c r="AX208" s="263"/>
      <c r="AY208" s="263"/>
      <c r="AZ208" s="263"/>
      <c r="BA208" s="263"/>
      <c r="BB208" s="263"/>
      <c r="BC208" s="263"/>
      <c r="BD208" s="263"/>
    </row>
    <row r="209" spans="3:56" ht="19.5">
      <c r="C209" s="689"/>
      <c r="D209" s="263"/>
      <c r="E209" s="263"/>
      <c r="F209" s="263"/>
      <c r="G209" s="263"/>
      <c r="H209" s="263"/>
      <c r="I209" s="263"/>
      <c r="J209" s="263"/>
      <c r="K209" s="263"/>
      <c r="L209" s="465"/>
      <c r="M209" s="465"/>
      <c r="N209" s="465"/>
      <c r="O209" s="465"/>
      <c r="P209" s="465"/>
      <c r="Q209" s="465"/>
      <c r="R209" s="465"/>
      <c r="S209" s="465"/>
      <c r="T209" s="465"/>
      <c r="U209" s="465"/>
      <c r="V209" s="263"/>
      <c r="W209" s="263"/>
      <c r="X209" s="263"/>
      <c r="Y209" s="263"/>
      <c r="Z209" s="263"/>
      <c r="AA209" s="690"/>
      <c r="AB209" s="263"/>
      <c r="AC209" s="263"/>
      <c r="AD209" s="263"/>
      <c r="AE209" s="263"/>
      <c r="AF209" s="263"/>
      <c r="AG209" s="263"/>
      <c r="AH209" s="263"/>
      <c r="AI209" s="263"/>
      <c r="AJ209" s="263"/>
      <c r="AK209" s="263"/>
      <c r="AL209" s="263"/>
      <c r="AM209" s="263"/>
      <c r="AN209" s="263"/>
      <c r="AO209" s="263"/>
      <c r="AP209" s="263"/>
      <c r="AQ209" s="263"/>
      <c r="AR209" s="263"/>
      <c r="AS209" s="263"/>
      <c r="AT209" s="263"/>
      <c r="AU209" s="263"/>
      <c r="AV209" s="263"/>
      <c r="AW209" s="263"/>
      <c r="AX209" s="263"/>
      <c r="AY209" s="263"/>
      <c r="AZ209" s="263"/>
      <c r="BA209" s="263"/>
      <c r="BB209" s="263"/>
      <c r="BC209" s="263"/>
      <c r="BD209" s="263"/>
    </row>
    <row r="210" spans="3:56" ht="19.5">
      <c r="C210" s="689"/>
      <c r="D210" s="263"/>
      <c r="E210" s="263"/>
      <c r="F210" s="263"/>
      <c r="G210" s="263"/>
      <c r="H210" s="263"/>
      <c r="I210" s="263"/>
      <c r="J210" s="263"/>
      <c r="K210" s="263"/>
      <c r="L210" s="465"/>
      <c r="M210" s="465"/>
      <c r="N210" s="465"/>
      <c r="O210" s="465"/>
      <c r="P210" s="465"/>
      <c r="Q210" s="465"/>
      <c r="R210" s="465"/>
      <c r="S210" s="465"/>
      <c r="T210" s="465"/>
      <c r="U210" s="465"/>
      <c r="V210" s="263"/>
      <c r="W210" s="263"/>
      <c r="X210" s="263"/>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263"/>
      <c r="AT210" s="263"/>
      <c r="AU210" s="263"/>
      <c r="AV210" s="263"/>
      <c r="AW210" s="263"/>
      <c r="AX210" s="263"/>
      <c r="AY210" s="263"/>
      <c r="AZ210" s="263"/>
      <c r="BA210" s="263"/>
      <c r="BB210" s="263"/>
      <c r="BC210" s="263"/>
      <c r="BD210" s="263"/>
    </row>
    <row r="211" spans="3:56" ht="19.5">
      <c r="C211" s="689"/>
      <c r="D211" s="263"/>
      <c r="E211" s="263"/>
      <c r="F211" s="263"/>
      <c r="G211" s="263"/>
      <c r="H211" s="263"/>
      <c r="I211" s="263"/>
      <c r="J211" s="263"/>
      <c r="K211" s="263"/>
      <c r="L211" s="465"/>
      <c r="M211" s="465"/>
      <c r="N211" s="465"/>
      <c r="O211" s="465"/>
      <c r="P211" s="465"/>
      <c r="Q211" s="465"/>
      <c r="R211" s="465"/>
      <c r="S211" s="465"/>
      <c r="T211" s="465"/>
      <c r="U211" s="465"/>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row>
    <row r="212" spans="3:56" ht="19.5">
      <c r="C212" s="689"/>
      <c r="D212" s="263"/>
      <c r="E212" s="263"/>
      <c r="F212" s="263"/>
      <c r="G212" s="263"/>
      <c r="H212" s="263"/>
      <c r="I212" s="263"/>
      <c r="J212" s="263"/>
      <c r="K212" s="263"/>
      <c r="L212" s="465"/>
      <c r="M212" s="465"/>
      <c r="N212" s="465"/>
      <c r="O212" s="465"/>
      <c r="P212" s="465"/>
      <c r="Q212" s="465"/>
      <c r="R212" s="465"/>
      <c r="S212" s="465"/>
      <c r="T212" s="465"/>
      <c r="U212" s="465"/>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row>
    <row r="213" spans="3:56" ht="19.5">
      <c r="C213" s="689"/>
      <c r="D213" s="263"/>
      <c r="E213" s="263"/>
      <c r="F213" s="263"/>
      <c r="G213" s="263"/>
      <c r="H213" s="263"/>
      <c r="I213" s="263"/>
      <c r="J213" s="263"/>
      <c r="K213" s="263"/>
      <c r="L213" s="465"/>
      <c r="M213" s="465"/>
      <c r="N213" s="465"/>
      <c r="O213" s="465"/>
      <c r="P213" s="465"/>
      <c r="Q213" s="465"/>
      <c r="R213" s="465"/>
      <c r="S213" s="465"/>
      <c r="T213" s="465"/>
      <c r="U213" s="465"/>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row>
    <row r="214" spans="3:56" ht="19.5">
      <c r="C214" s="689"/>
      <c r="D214" s="263"/>
      <c r="E214" s="263"/>
      <c r="F214" s="263"/>
      <c r="G214" s="263"/>
      <c r="H214" s="263"/>
      <c r="I214" s="263"/>
      <c r="J214" s="263"/>
      <c r="K214" s="263"/>
      <c r="L214" s="465"/>
      <c r="M214" s="465"/>
      <c r="N214" s="465"/>
      <c r="O214" s="465"/>
      <c r="P214" s="465"/>
      <c r="Q214" s="465"/>
      <c r="R214" s="465"/>
      <c r="S214" s="465"/>
      <c r="T214" s="465"/>
      <c r="U214" s="465"/>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3"/>
      <c r="AY214" s="263"/>
      <c r="AZ214" s="263"/>
      <c r="BA214" s="263"/>
      <c r="BB214" s="263"/>
      <c r="BC214" s="263"/>
      <c r="BD214" s="263"/>
    </row>
    <row r="215" spans="3:56" ht="19.5">
      <c r="C215" s="689"/>
      <c r="D215" s="263"/>
      <c r="E215" s="263"/>
      <c r="F215" s="263"/>
      <c r="G215" s="263"/>
      <c r="H215" s="263"/>
      <c r="I215" s="263"/>
      <c r="J215" s="263"/>
      <c r="K215" s="263"/>
      <c r="L215" s="465"/>
      <c r="M215" s="465"/>
      <c r="N215" s="465"/>
      <c r="O215" s="465"/>
      <c r="P215" s="465"/>
      <c r="Q215" s="465"/>
      <c r="R215" s="465"/>
      <c r="S215" s="465"/>
      <c r="T215" s="465"/>
      <c r="U215" s="465"/>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63"/>
      <c r="BA215" s="263"/>
      <c r="BB215" s="263"/>
      <c r="BC215" s="263"/>
      <c r="BD215" s="263"/>
    </row>
    <row r="216" spans="3:56" ht="19.5">
      <c r="C216" s="689"/>
      <c r="D216" s="263"/>
      <c r="E216" s="263"/>
      <c r="F216" s="263"/>
      <c r="G216" s="263"/>
      <c r="H216" s="263"/>
      <c r="I216" s="263"/>
      <c r="J216" s="263"/>
      <c r="K216" s="263"/>
      <c r="L216" s="465"/>
      <c r="M216" s="465"/>
      <c r="N216" s="465"/>
      <c r="O216" s="465"/>
      <c r="P216" s="465"/>
      <c r="Q216" s="465"/>
      <c r="R216" s="465"/>
      <c r="S216" s="465"/>
      <c r="T216" s="465"/>
      <c r="U216" s="465"/>
      <c r="V216" s="263"/>
      <c r="W216" s="263"/>
      <c r="X216" s="263"/>
      <c r="Y216" s="263"/>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c r="AZ216" s="263"/>
      <c r="BA216" s="263"/>
      <c r="BB216" s="263"/>
      <c r="BC216" s="263"/>
      <c r="BD216" s="263"/>
    </row>
    <row r="217" spans="3:56" ht="19.5">
      <c r="C217" s="689"/>
      <c r="D217" s="263"/>
      <c r="E217" s="263"/>
      <c r="F217" s="263"/>
      <c r="G217" s="263"/>
      <c r="H217" s="263"/>
      <c r="I217" s="263"/>
      <c r="J217" s="263"/>
      <c r="K217" s="263"/>
      <c r="L217" s="465"/>
      <c r="M217" s="465"/>
      <c r="N217" s="465"/>
      <c r="O217" s="465"/>
      <c r="P217" s="465"/>
      <c r="Q217" s="465"/>
      <c r="R217" s="465"/>
      <c r="S217" s="465"/>
      <c r="T217" s="465"/>
      <c r="U217" s="465"/>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AT217" s="263"/>
      <c r="AU217" s="263"/>
      <c r="AV217" s="263"/>
      <c r="AW217" s="263"/>
      <c r="AX217" s="263"/>
      <c r="AY217" s="263"/>
      <c r="AZ217" s="263"/>
      <c r="BA217" s="263"/>
      <c r="BB217" s="263"/>
      <c r="BC217" s="263"/>
      <c r="BD217" s="263"/>
    </row>
    <row r="218" spans="3:56" ht="19.5">
      <c r="C218" s="689"/>
      <c r="D218" s="263"/>
      <c r="E218" s="263"/>
      <c r="F218" s="263"/>
      <c r="G218" s="263"/>
      <c r="H218" s="263"/>
      <c r="I218" s="263"/>
      <c r="J218" s="263"/>
      <c r="K218" s="263"/>
      <c r="L218" s="465"/>
      <c r="M218" s="465"/>
      <c r="N218" s="465"/>
      <c r="O218" s="465"/>
      <c r="P218" s="465"/>
      <c r="Q218" s="465"/>
      <c r="R218" s="465"/>
      <c r="S218" s="465"/>
      <c r="T218" s="465"/>
      <c r="U218" s="465"/>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3"/>
      <c r="AX218" s="263"/>
      <c r="AY218" s="263"/>
      <c r="AZ218" s="263"/>
      <c r="BA218" s="263"/>
      <c r="BB218" s="263"/>
      <c r="BC218" s="263"/>
      <c r="BD218" s="263"/>
    </row>
    <row r="219" spans="3:56" ht="19.5">
      <c r="C219" s="689"/>
      <c r="D219" s="263"/>
      <c r="E219" s="263"/>
      <c r="F219" s="263"/>
      <c r="G219" s="263"/>
      <c r="H219" s="263"/>
      <c r="I219" s="263"/>
      <c r="J219" s="263"/>
      <c r="K219" s="263"/>
      <c r="L219" s="465"/>
      <c r="M219" s="465"/>
      <c r="N219" s="465"/>
      <c r="O219" s="465"/>
      <c r="P219" s="465"/>
      <c r="Q219" s="465"/>
      <c r="R219" s="465"/>
      <c r="S219" s="465"/>
      <c r="T219" s="465"/>
      <c r="U219" s="465"/>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row>
    <row r="220" spans="3:56" ht="19.5">
      <c r="C220" s="689"/>
      <c r="D220" s="263"/>
      <c r="E220" s="263"/>
      <c r="F220" s="263"/>
      <c r="G220" s="263"/>
      <c r="H220" s="263"/>
      <c r="I220" s="263"/>
      <c r="J220" s="263"/>
      <c r="K220" s="263"/>
      <c r="L220" s="465"/>
      <c r="M220" s="465"/>
      <c r="N220" s="465"/>
      <c r="O220" s="465"/>
      <c r="P220" s="465"/>
      <c r="Q220" s="465"/>
      <c r="R220" s="465"/>
      <c r="S220" s="465"/>
      <c r="T220" s="465"/>
      <c r="U220" s="465"/>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3"/>
      <c r="AY220" s="263"/>
      <c r="AZ220" s="263"/>
      <c r="BA220" s="263"/>
      <c r="BB220" s="263"/>
      <c r="BC220" s="263"/>
      <c r="BD220" s="263"/>
    </row>
    <row r="221" spans="3:56" ht="19.5">
      <c r="C221" s="689"/>
      <c r="D221" s="263"/>
      <c r="E221" s="263"/>
      <c r="F221" s="263"/>
      <c r="G221" s="263"/>
      <c r="H221" s="263"/>
      <c r="I221" s="263"/>
      <c r="J221" s="263"/>
      <c r="K221" s="263"/>
      <c r="L221" s="465"/>
      <c r="M221" s="465"/>
      <c r="N221" s="465"/>
      <c r="O221" s="465"/>
      <c r="P221" s="465"/>
      <c r="Q221" s="465"/>
      <c r="R221" s="465"/>
      <c r="S221" s="465"/>
      <c r="T221" s="465"/>
      <c r="U221" s="465"/>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c r="AZ221" s="263"/>
      <c r="BA221" s="263"/>
      <c r="BB221" s="263"/>
      <c r="BC221" s="263"/>
      <c r="BD221" s="263"/>
    </row>
    <row r="222" spans="3:56" ht="19.5">
      <c r="C222" s="689"/>
      <c r="D222" s="263"/>
      <c r="E222" s="263"/>
      <c r="F222" s="263"/>
      <c r="G222" s="263"/>
      <c r="H222" s="263"/>
      <c r="I222" s="263"/>
      <c r="J222" s="263"/>
      <c r="K222" s="263"/>
      <c r="L222" s="465"/>
      <c r="M222" s="465"/>
      <c r="N222" s="465"/>
      <c r="O222" s="465"/>
      <c r="P222" s="465"/>
      <c r="Q222" s="465"/>
      <c r="R222" s="465"/>
      <c r="S222" s="465"/>
      <c r="T222" s="465"/>
      <c r="U222" s="465"/>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3"/>
      <c r="AY222" s="263"/>
      <c r="AZ222" s="263"/>
      <c r="BA222" s="263"/>
      <c r="BB222" s="263"/>
      <c r="BC222" s="263"/>
      <c r="BD222" s="263"/>
    </row>
    <row r="223" spans="3:56" ht="19.5">
      <c r="C223" s="689"/>
      <c r="D223" s="263"/>
      <c r="E223" s="263"/>
      <c r="F223" s="263"/>
      <c r="G223" s="263"/>
      <c r="H223" s="263"/>
      <c r="I223" s="263"/>
      <c r="J223" s="263"/>
      <c r="K223" s="263"/>
      <c r="L223" s="465"/>
      <c r="M223" s="465"/>
      <c r="N223" s="465"/>
      <c r="O223" s="465"/>
      <c r="P223" s="465"/>
      <c r="Q223" s="465"/>
      <c r="R223" s="465"/>
      <c r="S223" s="465"/>
      <c r="T223" s="465"/>
      <c r="U223" s="465"/>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row>
    <row r="224" spans="3:56" ht="19.5">
      <c r="C224" s="689"/>
      <c r="D224" s="263"/>
      <c r="E224" s="263"/>
      <c r="F224" s="263"/>
      <c r="G224" s="263"/>
      <c r="H224" s="263"/>
      <c r="I224" s="263"/>
      <c r="J224" s="263"/>
      <c r="K224" s="263"/>
      <c r="L224" s="465"/>
      <c r="M224" s="465"/>
      <c r="N224" s="465"/>
      <c r="O224" s="465"/>
      <c r="P224" s="465"/>
      <c r="Q224" s="465"/>
      <c r="R224" s="465"/>
      <c r="S224" s="465"/>
      <c r="T224" s="465"/>
      <c r="U224" s="465"/>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3"/>
      <c r="AY224" s="263"/>
      <c r="AZ224" s="263"/>
      <c r="BA224" s="263"/>
      <c r="BB224" s="263"/>
      <c r="BC224" s="263"/>
      <c r="BD224" s="263"/>
    </row>
    <row r="225" spans="3:56" ht="19.5">
      <c r="C225" s="689"/>
      <c r="D225" s="263"/>
      <c r="E225" s="263"/>
      <c r="F225" s="263"/>
      <c r="G225" s="263"/>
      <c r="H225" s="263"/>
      <c r="I225" s="263"/>
      <c r="J225" s="263"/>
      <c r="K225" s="263"/>
      <c r="L225" s="465"/>
      <c r="M225" s="465"/>
      <c r="N225" s="465"/>
      <c r="O225" s="465"/>
      <c r="P225" s="465"/>
      <c r="Q225" s="465"/>
      <c r="R225" s="465"/>
      <c r="S225" s="465"/>
      <c r="T225" s="465"/>
      <c r="U225" s="465"/>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c r="AZ225" s="263"/>
      <c r="BA225" s="263"/>
      <c r="BB225" s="263"/>
      <c r="BC225" s="263"/>
      <c r="BD225" s="263"/>
    </row>
    <row r="226" spans="3:56" ht="19.5">
      <c r="C226" s="689"/>
      <c r="D226" s="263"/>
      <c r="E226" s="263"/>
      <c r="F226" s="263"/>
      <c r="G226" s="263"/>
      <c r="H226" s="263"/>
      <c r="I226" s="263"/>
      <c r="J226" s="263"/>
      <c r="K226" s="263"/>
      <c r="L226" s="465"/>
      <c r="M226" s="465"/>
      <c r="N226" s="465"/>
      <c r="O226" s="465"/>
      <c r="P226" s="465"/>
      <c r="Q226" s="465"/>
      <c r="R226" s="465"/>
      <c r="S226" s="465"/>
      <c r="T226" s="465"/>
      <c r="U226" s="465"/>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3"/>
      <c r="AY226" s="263"/>
      <c r="AZ226" s="263"/>
      <c r="BA226" s="263"/>
      <c r="BB226" s="263"/>
      <c r="BC226" s="263"/>
      <c r="BD226" s="263"/>
    </row>
    <row r="227" spans="3:56" ht="19.5">
      <c r="C227" s="689"/>
      <c r="D227" s="263"/>
      <c r="E227" s="263"/>
      <c r="F227" s="263"/>
      <c r="G227" s="263"/>
      <c r="H227" s="263"/>
      <c r="I227" s="263"/>
      <c r="J227" s="263"/>
      <c r="K227" s="263"/>
      <c r="L227" s="465"/>
      <c r="M227" s="465"/>
      <c r="N227" s="465"/>
      <c r="O227" s="465"/>
      <c r="P227" s="465"/>
      <c r="Q227" s="465"/>
      <c r="R227" s="465"/>
      <c r="S227" s="465"/>
      <c r="T227" s="465"/>
      <c r="U227" s="465"/>
      <c r="V227" s="263"/>
      <c r="W227" s="263"/>
      <c r="X227" s="263"/>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c r="AZ227" s="263"/>
      <c r="BA227" s="263"/>
      <c r="BB227" s="263"/>
      <c r="BC227" s="263"/>
      <c r="BD227" s="263"/>
    </row>
  </sheetData>
  <mergeCells count="28">
    <mergeCell ref="AC18:AT18"/>
    <mergeCell ref="A22:B22"/>
    <mergeCell ref="K199:L199"/>
    <mergeCell ref="AJ19:AL19"/>
    <mergeCell ref="AM19:AO19"/>
    <mergeCell ref="AP19:AQ19"/>
    <mergeCell ref="A19:A20"/>
    <mergeCell ref="B19:B20"/>
    <mergeCell ref="C19:C20"/>
    <mergeCell ref="D19:F19"/>
    <mergeCell ref="G19:I19"/>
    <mergeCell ref="B165:D165"/>
    <mergeCell ref="N19:P19"/>
    <mergeCell ref="Q19:S19"/>
    <mergeCell ref="T19:U19"/>
    <mergeCell ref="AR19:AS19"/>
    <mergeCell ref="J19:M19"/>
    <mergeCell ref="AT19:AT20"/>
    <mergeCell ref="V19:X19"/>
    <mergeCell ref="Y19:AA19"/>
    <mergeCell ref="AB19:AC19"/>
    <mergeCell ref="AD19:AF19"/>
    <mergeCell ref="AG19:AI19"/>
    <mergeCell ref="A1:AT1"/>
    <mergeCell ref="A2:AT2"/>
    <mergeCell ref="A3:AT3"/>
    <mergeCell ref="A4:AT4"/>
    <mergeCell ref="AP6:AQ6"/>
  </mergeCells>
  <phoneticPr fontId="98" type="noConversion"/>
  <printOptions horizontalCentered="1"/>
  <pageMargins left="0.25" right="0.25" top="0.75" bottom="0.25" header="0.2" footer="0"/>
  <pageSetup paperSize="9" scale="51" fitToHeight="0" orientation="landscape" horizontalDpi="300" verticalDpi="300" r:id="rId1"/>
  <headerFooter>
    <oddFooter>&amp;Lयोजना शाखा प्रमुख&amp;Cआर्थिक प्रशासन शाखा प्रमुख&amp;Rकार्यालय प्रमुख</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A893-F8F2-4E35-B88D-756207ABCA05}">
  <sheetPr>
    <tabColor rgb="FFFF0000"/>
    <pageSetUpPr fitToPage="1"/>
  </sheetPr>
  <dimension ref="A1:BD103"/>
  <sheetViews>
    <sheetView view="pageBreakPreview" zoomScale="74" zoomScaleNormal="70" zoomScaleSheetLayoutView="74" workbookViewId="0">
      <selection activeCell="A4" sqref="A4:AT4"/>
    </sheetView>
  </sheetViews>
  <sheetFormatPr defaultRowHeight="12.75"/>
  <cols>
    <col min="1" max="1" width="15.85546875" customWidth="1"/>
    <col min="2" max="2" width="45.85546875" customWidth="1"/>
    <col min="3" max="3" width="9.140625" style="314" customWidth="1"/>
    <col min="4" max="9" width="9.7109375" hidden="1" customWidth="1"/>
    <col min="10" max="10" width="8.7109375" customWidth="1"/>
    <col min="11" max="11" width="9.28515625" customWidth="1"/>
    <col min="12" max="12" width="10.7109375" style="324" customWidth="1"/>
    <col min="13" max="13" width="12" style="324" customWidth="1"/>
    <col min="14" max="15" width="8.7109375" style="324" customWidth="1"/>
    <col min="16" max="16" width="10.140625" style="324" customWidth="1"/>
    <col min="17" max="18" width="8.7109375" style="324" customWidth="1"/>
    <col min="19" max="19" width="10" style="324" customWidth="1"/>
    <col min="20" max="20" width="9.42578125" style="324" customWidth="1"/>
    <col min="21" max="21" width="9.140625" style="324" customWidth="1"/>
    <col min="22" max="23" width="8.5703125" customWidth="1"/>
    <col min="24" max="24" width="10" customWidth="1"/>
    <col min="25" max="26" width="8.7109375" customWidth="1"/>
    <col min="27" max="27" width="9.28515625" customWidth="1"/>
    <col min="28" max="28" width="10" customWidth="1"/>
    <col min="29" max="29" width="12.85546875" bestFit="1" customWidth="1"/>
    <col min="30" max="31" width="9.7109375" hidden="1" customWidth="1"/>
    <col min="32" max="32" width="9.7109375" style="71" hidden="1" customWidth="1"/>
    <col min="33" max="45" width="9.7109375" hidden="1" customWidth="1"/>
    <col min="46" max="46" width="8" bestFit="1" customWidth="1"/>
    <col min="47" max="47" width="14.7109375" bestFit="1" customWidth="1"/>
    <col min="48" max="48" width="9.85546875" bestFit="1" customWidth="1"/>
  </cols>
  <sheetData>
    <row r="1" spans="1:46" s="220" customFormat="1" ht="32.450000000000003" customHeight="1">
      <c r="A1" s="634" t="s">
        <v>799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row>
    <row r="2" spans="1:46" s="220" customFormat="1" ht="32.450000000000003" customHeight="1">
      <c r="A2" s="634" t="s">
        <v>798</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row>
    <row r="3" spans="1:46" s="220" customFormat="1" ht="32.450000000000003" customHeight="1">
      <c r="A3" s="705" t="s">
        <v>1303</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row>
    <row r="4" spans="1:46" s="220" customFormat="1" ht="27.6" customHeight="1">
      <c r="A4" s="613" t="s">
        <v>1302</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row>
    <row r="5" spans="1:46" s="220" customFormat="1" ht="28.5">
      <c r="A5" s="265"/>
      <c r="B5" s="265"/>
      <c r="C5" s="265"/>
      <c r="D5" s="265"/>
      <c r="E5" s="265"/>
      <c r="F5" s="265"/>
      <c r="G5" s="265"/>
      <c r="H5" s="265"/>
      <c r="I5" s="265"/>
      <c r="J5" s="265"/>
      <c r="K5" s="265"/>
      <c r="L5" s="318"/>
      <c r="M5" s="318"/>
      <c r="N5" s="318"/>
      <c r="O5" s="318"/>
      <c r="P5" s="318"/>
      <c r="Q5" s="318"/>
      <c r="R5" s="318"/>
      <c r="S5" s="318"/>
      <c r="T5" s="318"/>
      <c r="U5" s="318"/>
      <c r="V5" s="265"/>
      <c r="W5" s="263"/>
      <c r="X5" s="263"/>
      <c r="Y5" s="265"/>
      <c r="Z5" s="265"/>
      <c r="AA5" s="264"/>
      <c r="AB5" s="264"/>
      <c r="AC5" s="264"/>
      <c r="AD5" s="264"/>
      <c r="AE5" s="264"/>
      <c r="AF5" s="264"/>
      <c r="AG5" s="264"/>
      <c r="AH5" s="264"/>
      <c r="AI5" s="264"/>
      <c r="AJ5" s="264"/>
      <c r="AK5" s="264"/>
      <c r="AL5" s="264"/>
      <c r="AM5" s="264"/>
      <c r="AN5" s="264"/>
      <c r="AO5" s="264"/>
      <c r="AP5" s="265"/>
      <c r="AQ5" s="265"/>
      <c r="AR5" s="265"/>
      <c r="AS5" s="265"/>
      <c r="AT5" s="265"/>
    </row>
    <row r="6" spans="1:46" s="220" customFormat="1" ht="24" hidden="1">
      <c r="A6" s="266" t="s">
        <v>771</v>
      </c>
      <c r="B6" s="266"/>
      <c r="C6" s="309"/>
      <c r="D6" s="266"/>
      <c r="E6" s="266"/>
      <c r="F6" s="266"/>
      <c r="G6" s="266"/>
      <c r="H6" s="266"/>
      <c r="I6" s="266"/>
      <c r="J6" s="267"/>
      <c r="K6" s="267"/>
      <c r="L6" s="319"/>
      <c r="M6" s="319"/>
      <c r="N6" s="319"/>
      <c r="O6" s="319"/>
      <c r="P6" s="319"/>
      <c r="Q6" s="319"/>
      <c r="R6" s="319"/>
      <c r="S6" s="319"/>
      <c r="T6" s="319"/>
      <c r="U6" s="319"/>
      <c r="V6" s="263"/>
      <c r="W6" s="263"/>
      <c r="X6" s="263"/>
      <c r="Y6" s="263"/>
      <c r="Z6" s="263"/>
      <c r="AA6" s="263"/>
      <c r="AB6" s="263"/>
      <c r="AC6" s="263"/>
      <c r="AD6" s="266" t="s">
        <v>785</v>
      </c>
      <c r="AE6" s="263"/>
      <c r="AF6" s="267"/>
      <c r="AG6" s="268">
        <f>'एकिकृत बिवरण'!$J$13/100000-331.31</f>
        <v>600.97694000000001</v>
      </c>
      <c r="AH6" s="269"/>
      <c r="AI6" s="270">
        <v>331.31</v>
      </c>
      <c r="AJ6" s="270"/>
      <c r="AK6" s="270"/>
      <c r="AL6" s="270"/>
      <c r="AM6" s="270"/>
      <c r="AN6" s="270"/>
      <c r="AO6" s="270"/>
      <c r="AP6" s="614">
        <f>AG6+AI6</f>
        <v>932.28693999999996</v>
      </c>
      <c r="AQ6" s="614"/>
      <c r="AR6" s="266"/>
      <c r="AS6" s="266"/>
    </row>
    <row r="7" spans="1:46" s="220" customFormat="1" ht="24" hidden="1">
      <c r="A7" s="271" t="s">
        <v>772</v>
      </c>
      <c r="B7" s="266"/>
      <c r="C7" s="309"/>
      <c r="D7" s="266"/>
      <c r="E7" s="266"/>
      <c r="F7" s="266"/>
      <c r="G7" s="266"/>
      <c r="H7" s="266"/>
      <c r="I7" s="266"/>
      <c r="J7" s="267"/>
      <c r="K7" s="267"/>
      <c r="L7" s="319"/>
      <c r="M7" s="319"/>
      <c r="N7" s="319"/>
      <c r="O7" s="319"/>
      <c r="P7" s="319"/>
      <c r="Q7" s="319"/>
      <c r="R7" s="319"/>
      <c r="S7" s="319"/>
      <c r="T7" s="319"/>
      <c r="U7" s="319"/>
      <c r="V7" s="263"/>
      <c r="W7" s="263"/>
      <c r="X7" s="263"/>
      <c r="Y7" s="267"/>
      <c r="Z7" s="267"/>
      <c r="AA7" s="267"/>
      <c r="AB7" s="267"/>
      <c r="AC7" s="267"/>
      <c r="AD7" s="273" t="s">
        <v>779</v>
      </c>
      <c r="AE7" s="267"/>
      <c r="AF7" s="267"/>
      <c r="AG7" s="267"/>
      <c r="AH7" s="267"/>
      <c r="AI7" s="266"/>
      <c r="AJ7" s="266"/>
      <c r="AK7" s="266"/>
      <c r="AL7" s="266"/>
      <c r="AM7" s="266"/>
      <c r="AN7" s="266"/>
      <c r="AO7" s="266"/>
      <c r="AP7" s="266"/>
      <c r="AQ7" s="266"/>
      <c r="AR7" s="266"/>
      <c r="AS7" s="266"/>
    </row>
    <row r="8" spans="1:46" s="220" customFormat="1" ht="24" hidden="1">
      <c r="A8" s="266" t="s">
        <v>773</v>
      </c>
      <c r="B8" s="266"/>
      <c r="C8" s="309"/>
      <c r="D8" s="266"/>
      <c r="E8" s="266"/>
      <c r="F8" s="266"/>
      <c r="G8" s="266"/>
      <c r="H8" s="266"/>
      <c r="I8" s="266"/>
      <c r="J8" s="267"/>
      <c r="K8" s="267"/>
      <c r="L8" s="319"/>
      <c r="M8" s="319"/>
      <c r="N8" s="319"/>
      <c r="O8" s="319"/>
      <c r="P8" s="319"/>
      <c r="Q8" s="319"/>
      <c r="R8" s="319"/>
      <c r="S8" s="319"/>
      <c r="T8" s="319"/>
      <c r="U8" s="319"/>
      <c r="V8" s="263"/>
      <c r="W8" s="263"/>
      <c r="X8" s="263"/>
      <c r="Y8" s="263"/>
      <c r="Z8" s="263"/>
      <c r="AD8" s="267" t="s">
        <v>786</v>
      </c>
      <c r="AE8" s="263"/>
      <c r="AF8" s="263"/>
      <c r="AG8" s="267"/>
      <c r="AH8" s="267"/>
      <c r="AI8" s="266"/>
      <c r="AJ8" s="266"/>
      <c r="AK8" s="266"/>
      <c r="AL8" s="266"/>
      <c r="AM8" s="266"/>
      <c r="AN8" s="266"/>
      <c r="AO8" s="266"/>
      <c r="AP8" s="266"/>
      <c r="AQ8" s="266"/>
      <c r="AR8" s="266"/>
      <c r="AS8" s="266"/>
    </row>
    <row r="9" spans="1:46" s="220" customFormat="1" ht="24" hidden="1">
      <c r="A9" s="266" t="s">
        <v>774</v>
      </c>
      <c r="B9" s="266"/>
      <c r="C9" s="309"/>
      <c r="D9" s="266"/>
      <c r="E9" s="266"/>
      <c r="F9" s="266"/>
      <c r="G9" s="266"/>
      <c r="H9" s="266"/>
      <c r="I9" s="266"/>
      <c r="J9" s="267"/>
      <c r="K9" s="267"/>
      <c r="L9" s="319"/>
      <c r="M9" s="319"/>
      <c r="N9" s="319"/>
      <c r="O9" s="319"/>
      <c r="P9" s="319"/>
      <c r="Q9" s="319"/>
      <c r="R9" s="319"/>
      <c r="S9" s="319"/>
      <c r="T9" s="319"/>
      <c r="U9" s="319"/>
      <c r="V9" s="263"/>
      <c r="W9" s="267"/>
      <c r="X9" s="263"/>
      <c r="Y9" s="267"/>
      <c r="Z9" s="267"/>
      <c r="AA9" s="267"/>
      <c r="AB9" s="267"/>
      <c r="AC9" s="267"/>
      <c r="AD9" s="267"/>
      <c r="AE9" s="267"/>
      <c r="AF9" s="267"/>
      <c r="AG9" s="267"/>
      <c r="AH9" s="267"/>
      <c r="AI9" s="266"/>
      <c r="AJ9" s="266"/>
      <c r="AK9" s="266"/>
      <c r="AL9" s="266"/>
      <c r="AM9" s="266"/>
      <c r="AN9" s="266"/>
      <c r="AO9" s="266"/>
      <c r="AP9" s="266"/>
      <c r="AQ9" s="266"/>
      <c r="AR9" s="266"/>
      <c r="AS9" s="266"/>
    </row>
    <row r="10" spans="1:46" s="220" customFormat="1" ht="24" hidden="1">
      <c r="A10" s="266" t="s">
        <v>775</v>
      </c>
      <c r="B10" s="266"/>
      <c r="C10" s="309"/>
      <c r="D10" s="266"/>
      <c r="E10" s="266"/>
      <c r="F10" s="266"/>
      <c r="G10" s="266"/>
      <c r="H10" s="266"/>
      <c r="I10" s="266"/>
      <c r="J10" s="267"/>
      <c r="K10" s="267"/>
      <c r="L10" s="319"/>
      <c r="M10" s="319"/>
      <c r="N10" s="319"/>
      <c r="O10" s="319"/>
      <c r="P10" s="319"/>
      <c r="Q10" s="319"/>
      <c r="R10" s="319"/>
      <c r="S10" s="319"/>
      <c r="T10" s="319"/>
      <c r="U10" s="319"/>
      <c r="V10" s="263"/>
      <c r="W10" s="263"/>
      <c r="X10" s="263"/>
      <c r="Y10" s="263"/>
      <c r="Z10" s="263"/>
      <c r="AA10" s="267"/>
      <c r="AB10" s="267"/>
      <c r="AC10" s="267"/>
      <c r="AE10" s="267" t="s">
        <v>793</v>
      </c>
      <c r="AG10" s="267"/>
      <c r="AH10" s="267"/>
      <c r="AI10" s="266"/>
      <c r="AJ10" s="266"/>
      <c r="AK10" s="266"/>
      <c r="AL10" s="266"/>
      <c r="AM10" s="266"/>
      <c r="AN10" s="266"/>
      <c r="AO10" s="266"/>
      <c r="AP10" s="266"/>
      <c r="AQ10" s="266"/>
      <c r="AR10" s="266"/>
      <c r="AS10" s="266"/>
    </row>
    <row r="11" spans="1:46" s="220" customFormat="1" ht="24" hidden="1">
      <c r="A11" s="266" t="s">
        <v>776</v>
      </c>
      <c r="B11" s="266"/>
      <c r="C11" s="309"/>
      <c r="D11" s="266"/>
      <c r="E11" s="266"/>
      <c r="F11" s="266"/>
      <c r="G11" s="266"/>
      <c r="H11" s="266"/>
      <c r="I11" s="266"/>
      <c r="J11" s="267"/>
      <c r="K11" s="267"/>
      <c r="L11" s="319"/>
      <c r="M11" s="319"/>
      <c r="N11" s="319"/>
      <c r="O11" s="319"/>
      <c r="P11" s="319"/>
      <c r="Q11" s="319"/>
      <c r="R11" s="319"/>
      <c r="S11" s="319"/>
      <c r="T11" s="319"/>
      <c r="U11" s="319"/>
      <c r="V11" s="263"/>
      <c r="W11" s="267"/>
      <c r="X11" s="263"/>
      <c r="Y11" s="267"/>
      <c r="Z11" s="267"/>
      <c r="AA11" s="267"/>
      <c r="AB11" s="267"/>
      <c r="AC11" s="267"/>
      <c r="AD11" s="267"/>
      <c r="AE11" s="267"/>
      <c r="AF11" s="267"/>
      <c r="AG11" s="267"/>
      <c r="AH11" s="267"/>
      <c r="AI11" s="266"/>
      <c r="AJ11" s="266"/>
      <c r="AK11" s="266"/>
      <c r="AL11" s="266"/>
      <c r="AM11" s="266"/>
      <c r="AN11" s="266"/>
      <c r="AO11" s="266"/>
      <c r="AP11" s="266"/>
      <c r="AQ11" s="266"/>
      <c r="AR11" s="266"/>
      <c r="AS11" s="266"/>
    </row>
    <row r="12" spans="1:46" s="220" customFormat="1" ht="24" hidden="1">
      <c r="A12" s="266" t="s">
        <v>777</v>
      </c>
      <c r="B12" s="266"/>
      <c r="C12" s="309"/>
      <c r="D12" s="266"/>
      <c r="E12" s="266"/>
      <c r="F12" s="266"/>
      <c r="G12" s="266"/>
      <c r="H12" s="266"/>
      <c r="I12" s="266"/>
      <c r="J12" s="267"/>
      <c r="K12" s="267"/>
      <c r="L12" s="319"/>
      <c r="M12" s="319"/>
      <c r="N12" s="319"/>
      <c r="O12" s="319"/>
      <c r="P12" s="319"/>
      <c r="Q12" s="319"/>
      <c r="R12" s="319"/>
      <c r="S12" s="319"/>
      <c r="T12" s="319"/>
      <c r="U12" s="319"/>
      <c r="V12" s="263"/>
      <c r="W12" s="263"/>
      <c r="X12" s="263"/>
      <c r="Y12" s="263"/>
      <c r="Z12" s="263"/>
      <c r="AA12" s="267"/>
      <c r="AB12" s="267"/>
      <c r="AC12" s="267"/>
      <c r="AD12" s="267" t="s">
        <v>787</v>
      </c>
      <c r="AE12" s="263"/>
      <c r="AF12" s="267"/>
      <c r="AG12" s="267"/>
      <c r="AH12" s="267"/>
      <c r="AI12" s="266"/>
      <c r="AJ12" s="266"/>
      <c r="AK12" s="266"/>
      <c r="AL12" s="266"/>
      <c r="AM12" s="266"/>
      <c r="AN12" s="266"/>
      <c r="AO12" s="266"/>
      <c r="AP12" s="266"/>
      <c r="AQ12" s="266"/>
      <c r="AR12" s="266"/>
      <c r="AS12" s="266"/>
    </row>
    <row r="13" spans="1:46" s="220" customFormat="1" ht="24" hidden="1">
      <c r="A13" s="266" t="s">
        <v>778</v>
      </c>
      <c r="B13" s="266"/>
      <c r="C13" s="310"/>
      <c r="D13" s="272"/>
      <c r="E13" s="272"/>
      <c r="F13" s="272"/>
      <c r="G13" s="272"/>
      <c r="H13" s="272"/>
      <c r="I13" s="272"/>
      <c r="J13" s="267"/>
      <c r="K13" s="267"/>
      <c r="L13" s="319"/>
      <c r="M13" s="319"/>
      <c r="N13" s="319"/>
      <c r="O13" s="319"/>
      <c r="P13" s="319"/>
      <c r="Q13" s="319"/>
      <c r="R13" s="319"/>
      <c r="S13" s="319"/>
      <c r="T13" s="319"/>
      <c r="U13" s="319"/>
      <c r="V13" s="263"/>
      <c r="W13" s="263"/>
      <c r="X13" s="263"/>
      <c r="Y13" s="263"/>
      <c r="Z13" s="263"/>
      <c r="AA13" s="267"/>
      <c r="AB13" s="267"/>
      <c r="AC13" s="267"/>
      <c r="AD13" s="267" t="s">
        <v>788</v>
      </c>
      <c r="AE13" s="263"/>
      <c r="AF13" s="267"/>
      <c r="AG13" s="267"/>
      <c r="AH13" s="267"/>
      <c r="AI13" s="266"/>
      <c r="AJ13" s="266"/>
      <c r="AK13" s="266"/>
      <c r="AL13" s="266"/>
      <c r="AM13" s="266"/>
      <c r="AN13" s="266"/>
      <c r="AO13" s="266"/>
      <c r="AP13" s="266"/>
      <c r="AQ13" s="266"/>
      <c r="AR13" s="266"/>
      <c r="AS13" s="266"/>
    </row>
    <row r="14" spans="1:46" s="220" customFormat="1" ht="24" hidden="1">
      <c r="A14" s="273" t="s">
        <v>779</v>
      </c>
      <c r="B14" s="266"/>
      <c r="C14" s="310"/>
      <c r="D14" s="272"/>
      <c r="E14" s="272"/>
      <c r="F14" s="272"/>
      <c r="G14" s="272"/>
      <c r="H14" s="272"/>
      <c r="I14" s="272"/>
      <c r="J14" s="267"/>
      <c r="K14" s="267"/>
      <c r="L14" s="319"/>
      <c r="M14" s="319"/>
      <c r="N14" s="319"/>
      <c r="O14" s="319"/>
      <c r="P14" s="319"/>
      <c r="Q14" s="319"/>
      <c r="R14" s="319"/>
      <c r="S14" s="319"/>
      <c r="T14" s="319"/>
      <c r="U14" s="319"/>
      <c r="V14" s="263"/>
      <c r="W14" s="263"/>
      <c r="X14" s="263"/>
      <c r="Y14" s="267"/>
      <c r="Z14" s="267"/>
      <c r="AA14" s="267"/>
      <c r="AB14" s="267"/>
      <c r="AC14" s="267"/>
      <c r="AD14" s="267" t="s">
        <v>789</v>
      </c>
      <c r="AE14" s="267"/>
      <c r="AF14" s="267"/>
      <c r="AG14" s="267"/>
      <c r="AH14" s="267"/>
      <c r="AI14" s="266"/>
      <c r="AJ14" s="266"/>
      <c r="AK14" s="266"/>
      <c r="AL14" s="266"/>
      <c r="AM14" s="266"/>
      <c r="AN14" s="266"/>
      <c r="AO14" s="266"/>
      <c r="AP14" s="266"/>
      <c r="AQ14" s="266"/>
      <c r="AR14" s="266"/>
      <c r="AT14" s="274" t="e">
        <f>AG6/#REF!*100</f>
        <v>#REF!</v>
      </c>
    </row>
    <row r="15" spans="1:46" s="220" customFormat="1" ht="24" hidden="1">
      <c r="A15" s="266" t="s">
        <v>780</v>
      </c>
      <c r="B15" s="266"/>
      <c r="C15" s="309"/>
      <c r="D15" s="266"/>
      <c r="E15" s="266"/>
      <c r="F15" s="266"/>
      <c r="G15" s="266"/>
      <c r="H15" s="266"/>
      <c r="I15" s="266"/>
      <c r="J15" s="267"/>
      <c r="K15" s="267"/>
      <c r="L15" s="319"/>
      <c r="M15" s="319"/>
      <c r="N15" s="319"/>
      <c r="O15" s="319"/>
      <c r="P15" s="319"/>
      <c r="Q15" s="319"/>
      <c r="R15" s="319"/>
      <c r="S15" s="319"/>
      <c r="T15" s="319"/>
      <c r="U15" s="319"/>
      <c r="V15" s="263"/>
      <c r="W15" s="263"/>
      <c r="X15" s="263"/>
      <c r="Y15" s="267"/>
      <c r="Z15" s="267"/>
      <c r="AA15" s="267"/>
      <c r="AB15" s="267"/>
      <c r="AC15" s="267"/>
      <c r="AD15" s="267" t="s">
        <v>790</v>
      </c>
      <c r="AE15" s="267"/>
      <c r="AF15" s="267"/>
      <c r="AG15" s="267"/>
      <c r="AH15" s="267"/>
      <c r="AI15" s="266"/>
      <c r="AJ15" s="266"/>
      <c r="AK15" s="266"/>
      <c r="AL15" s="266"/>
      <c r="AM15" s="266"/>
      <c r="AN15" s="266"/>
      <c r="AO15" s="266"/>
      <c r="AP15" s="266"/>
      <c r="AQ15" s="266"/>
      <c r="AR15" s="266"/>
      <c r="AT15" s="275" t="e">
        <f>AP6/#REF!*100</f>
        <v>#REF!</v>
      </c>
    </row>
    <row r="16" spans="1:46" s="220" customFormat="1" ht="24" hidden="1">
      <c r="A16" s="266" t="s">
        <v>781</v>
      </c>
      <c r="B16" s="266"/>
      <c r="C16" s="309"/>
      <c r="D16" s="266"/>
      <c r="E16" s="266"/>
      <c r="F16" s="266"/>
      <c r="G16" s="266"/>
      <c r="H16" s="266"/>
      <c r="I16" s="266"/>
      <c r="J16" s="267"/>
      <c r="K16" s="267"/>
      <c r="L16" s="319"/>
      <c r="M16" s="319"/>
      <c r="N16" s="319"/>
      <c r="O16" s="319"/>
      <c r="P16" s="319"/>
      <c r="Q16" s="319"/>
      <c r="R16" s="319"/>
      <c r="S16" s="319"/>
      <c r="T16" s="319"/>
      <c r="U16" s="319"/>
      <c r="V16" s="263"/>
      <c r="W16" s="263"/>
      <c r="X16" s="263"/>
      <c r="Y16" s="267"/>
      <c r="Z16" s="267"/>
      <c r="AA16" s="267"/>
      <c r="AB16" s="267"/>
      <c r="AC16" s="267"/>
      <c r="AD16" s="267" t="s">
        <v>791</v>
      </c>
      <c r="AE16" s="267"/>
      <c r="AF16" s="267"/>
      <c r="AG16" s="267"/>
      <c r="AH16" s="267"/>
      <c r="AI16" s="266"/>
      <c r="AJ16" s="266"/>
      <c r="AK16" s="266"/>
      <c r="AL16" s="266"/>
      <c r="AM16" s="266"/>
      <c r="AN16" s="266"/>
      <c r="AO16" s="266"/>
      <c r="AP16" s="266"/>
      <c r="AQ16" s="266"/>
      <c r="AR16" s="266"/>
      <c r="AS16" s="266"/>
      <c r="AT16" s="266"/>
    </row>
    <row r="17" spans="1:56" s="220" customFormat="1" ht="24" hidden="1">
      <c r="A17" s="266" t="s">
        <v>782</v>
      </c>
      <c r="B17" s="266"/>
      <c r="C17" s="309"/>
      <c r="D17" s="266"/>
      <c r="E17" s="266"/>
      <c r="F17" s="266"/>
      <c r="G17" s="266"/>
      <c r="H17" s="266"/>
      <c r="I17" s="266"/>
      <c r="J17" s="267"/>
      <c r="K17" s="267"/>
      <c r="L17" s="319"/>
      <c r="M17" s="319"/>
      <c r="N17" s="319"/>
      <c r="O17" s="319"/>
      <c r="P17" s="319"/>
      <c r="Q17" s="319"/>
      <c r="R17" s="319"/>
      <c r="S17" s="319"/>
      <c r="T17" s="319"/>
      <c r="U17" s="319"/>
      <c r="V17" s="263"/>
      <c r="W17" s="263"/>
      <c r="X17" s="263"/>
      <c r="Y17" s="267"/>
      <c r="Z17" s="267"/>
      <c r="AA17" s="267"/>
      <c r="AB17" s="267"/>
      <c r="AC17" s="267"/>
      <c r="AD17" s="267" t="s">
        <v>792</v>
      </c>
      <c r="AE17" s="267"/>
      <c r="AF17" s="267"/>
      <c r="AG17" s="267"/>
      <c r="AH17" s="267"/>
      <c r="AI17" s="266"/>
      <c r="AJ17" s="266"/>
      <c r="AK17" s="266"/>
      <c r="AL17" s="266"/>
      <c r="AM17" s="266"/>
      <c r="AN17" s="266"/>
      <c r="AO17" s="266"/>
      <c r="AP17" s="266"/>
      <c r="AQ17" s="266"/>
      <c r="AR17" s="266"/>
      <c r="AT17" s="276" t="e">
        <f>#REF!</f>
        <v>#REF!</v>
      </c>
    </row>
    <row r="18" spans="1:56" s="220" customFormat="1" ht="24">
      <c r="A18" s="531" t="s">
        <v>1222</v>
      </c>
      <c r="B18" s="266"/>
      <c r="C18" s="309"/>
      <c r="D18" s="266"/>
      <c r="E18" s="266"/>
      <c r="F18" s="266"/>
      <c r="G18" s="266"/>
      <c r="H18" s="266"/>
      <c r="I18" s="266"/>
      <c r="J18" s="267"/>
      <c r="K18" s="267"/>
      <c r="L18" s="319"/>
      <c r="M18" s="319"/>
      <c r="N18" s="319"/>
      <c r="O18" s="319"/>
      <c r="P18" s="319"/>
      <c r="Q18" s="319"/>
      <c r="R18" s="319"/>
      <c r="S18" s="319"/>
      <c r="T18" s="319"/>
      <c r="U18" s="319"/>
      <c r="V18" s="267"/>
      <c r="W18" s="267"/>
      <c r="X18" s="267"/>
      <c r="Y18" s="267"/>
      <c r="Z18" s="267"/>
      <c r="AA18" s="267"/>
      <c r="AB18" s="344" t="s">
        <v>811</v>
      </c>
      <c r="AC18" s="345">
        <f>AB74</f>
        <v>1594.1786000000002</v>
      </c>
      <c r="AD18" s="267"/>
      <c r="AE18" s="267"/>
      <c r="AF18" s="267"/>
      <c r="AG18" s="267"/>
      <c r="AH18" s="267"/>
      <c r="AI18" s="266"/>
      <c r="AJ18" s="266"/>
      <c r="AK18" s="266"/>
      <c r="AL18" s="266"/>
      <c r="AM18" s="266"/>
      <c r="AN18" s="266"/>
      <c r="AO18" s="266"/>
      <c r="AP18" s="266"/>
      <c r="AQ18" s="266"/>
      <c r="AR18" s="330" t="s">
        <v>802</v>
      </c>
      <c r="AS18" s="266"/>
    </row>
    <row r="19" spans="1:56" s="220" customFormat="1" ht="51.75" customHeight="1">
      <c r="A19" s="638" t="s">
        <v>752</v>
      </c>
      <c r="B19" s="638" t="s">
        <v>753</v>
      </c>
      <c r="C19" s="639" t="s">
        <v>754</v>
      </c>
      <c r="D19" s="639" t="s">
        <v>755</v>
      </c>
      <c r="E19" s="639"/>
      <c r="F19" s="639"/>
      <c r="G19" s="639" t="s">
        <v>759</v>
      </c>
      <c r="H19" s="639"/>
      <c r="I19" s="639"/>
      <c r="J19" s="635" t="s">
        <v>760</v>
      </c>
      <c r="K19" s="636"/>
      <c r="L19" s="636"/>
      <c r="M19" s="637"/>
      <c r="N19" s="639" t="s">
        <v>1239</v>
      </c>
      <c r="O19" s="642"/>
      <c r="P19" s="643"/>
      <c r="Q19" s="639" t="s">
        <v>1240</v>
      </c>
      <c r="R19" s="639"/>
      <c r="S19" s="639"/>
      <c r="T19" s="639" t="s">
        <v>1241</v>
      </c>
      <c r="U19" s="639"/>
      <c r="V19" s="639" t="s">
        <v>1242</v>
      </c>
      <c r="W19" s="642"/>
      <c r="X19" s="643"/>
      <c r="Y19" s="639" t="s">
        <v>1243</v>
      </c>
      <c r="Z19" s="639"/>
      <c r="AA19" s="639"/>
      <c r="AB19" s="639" t="s">
        <v>1244</v>
      </c>
      <c r="AC19" s="639"/>
      <c r="AD19" s="638" t="s">
        <v>764</v>
      </c>
      <c r="AE19" s="638"/>
      <c r="AF19" s="638"/>
      <c r="AG19" s="639" t="s">
        <v>765</v>
      </c>
      <c r="AH19" s="639"/>
      <c r="AI19" s="639"/>
      <c r="AJ19" s="639" t="s">
        <v>767</v>
      </c>
      <c r="AK19" s="639"/>
      <c r="AL19" s="639"/>
      <c r="AM19" s="639" t="s">
        <v>766</v>
      </c>
      <c r="AN19" s="639"/>
      <c r="AO19" s="639"/>
      <c r="AP19" s="640" t="s">
        <v>768</v>
      </c>
      <c r="AQ19" s="640"/>
      <c r="AR19" s="640" t="s">
        <v>769</v>
      </c>
      <c r="AS19" s="640"/>
      <c r="AT19" s="638" t="s">
        <v>497</v>
      </c>
    </row>
    <row r="20" spans="1:56" s="220" customFormat="1" ht="31.5" customHeight="1">
      <c r="A20" s="638"/>
      <c r="B20" s="638"/>
      <c r="C20" s="639"/>
      <c r="D20" s="480" t="s">
        <v>761</v>
      </c>
      <c r="E20" s="480" t="s">
        <v>757</v>
      </c>
      <c r="F20" s="480" t="s">
        <v>758</v>
      </c>
      <c r="G20" s="480" t="s">
        <v>761</v>
      </c>
      <c r="H20" s="480" t="s">
        <v>757</v>
      </c>
      <c r="I20" s="480" t="s">
        <v>758</v>
      </c>
      <c r="J20" s="480" t="s">
        <v>761</v>
      </c>
      <c r="K20" s="480" t="s">
        <v>757</v>
      </c>
      <c r="L20" s="481" t="s">
        <v>758</v>
      </c>
      <c r="M20" s="481" t="s">
        <v>860</v>
      </c>
      <c r="N20" s="480" t="s">
        <v>761</v>
      </c>
      <c r="O20" s="480" t="s">
        <v>757</v>
      </c>
      <c r="P20" s="480" t="s">
        <v>758</v>
      </c>
      <c r="Q20" s="480" t="s">
        <v>761</v>
      </c>
      <c r="R20" s="480" t="s">
        <v>757</v>
      </c>
      <c r="S20" s="480" t="s">
        <v>805</v>
      </c>
      <c r="T20" s="480" t="s">
        <v>804</v>
      </c>
      <c r="U20" s="480" t="s">
        <v>805</v>
      </c>
      <c r="V20" s="480" t="s">
        <v>761</v>
      </c>
      <c r="W20" s="480" t="s">
        <v>757</v>
      </c>
      <c r="X20" s="480" t="s">
        <v>758</v>
      </c>
      <c r="Y20" s="480" t="s">
        <v>761</v>
      </c>
      <c r="Z20" s="480" t="s">
        <v>757</v>
      </c>
      <c r="AA20" s="480" t="s">
        <v>805</v>
      </c>
      <c r="AB20" s="480" t="s">
        <v>804</v>
      </c>
      <c r="AC20" s="480" t="s">
        <v>805</v>
      </c>
      <c r="AD20" s="480" t="s">
        <v>761</v>
      </c>
      <c r="AE20" s="480" t="s">
        <v>757</v>
      </c>
      <c r="AF20" s="480" t="s">
        <v>758</v>
      </c>
      <c r="AG20" s="480" t="s">
        <v>761</v>
      </c>
      <c r="AH20" s="480" t="s">
        <v>757</v>
      </c>
      <c r="AI20" s="480" t="s">
        <v>758</v>
      </c>
      <c r="AJ20" s="480"/>
      <c r="AK20" s="480"/>
      <c r="AL20" s="480"/>
      <c r="AM20" s="480"/>
      <c r="AN20" s="480"/>
      <c r="AO20" s="480"/>
      <c r="AP20" s="482"/>
      <c r="AQ20" s="482"/>
      <c r="AR20" s="483"/>
      <c r="AS20" s="484"/>
      <c r="AT20" s="638"/>
    </row>
    <row r="21" spans="1:56" s="220" customFormat="1" ht="19.5">
      <c r="A21" s="278">
        <v>1</v>
      </c>
      <c r="B21" s="278">
        <v>2</v>
      </c>
      <c r="C21" s="278">
        <v>3</v>
      </c>
      <c r="D21" s="278">
        <v>4</v>
      </c>
      <c r="E21" s="278">
        <v>5</v>
      </c>
      <c r="F21" s="278">
        <v>6</v>
      </c>
      <c r="G21" s="278">
        <v>7</v>
      </c>
      <c r="H21" s="278">
        <v>8</v>
      </c>
      <c r="I21" s="278">
        <v>9</v>
      </c>
      <c r="J21" s="347">
        <v>4</v>
      </c>
      <c r="K21" s="278">
        <v>5</v>
      </c>
      <c r="L21" s="278">
        <v>6</v>
      </c>
      <c r="M21" s="278"/>
      <c r="N21" s="278">
        <v>7</v>
      </c>
      <c r="O21" s="278">
        <v>8</v>
      </c>
      <c r="P21" s="278">
        <v>9</v>
      </c>
      <c r="Q21" s="278">
        <v>10</v>
      </c>
      <c r="R21" s="278">
        <v>11</v>
      </c>
      <c r="S21" s="347">
        <v>12</v>
      </c>
      <c r="T21" s="278">
        <v>13</v>
      </c>
      <c r="U21" s="278">
        <v>14</v>
      </c>
      <c r="V21" s="278">
        <v>7</v>
      </c>
      <c r="W21" s="278">
        <v>8</v>
      </c>
      <c r="X21" s="278">
        <v>9</v>
      </c>
      <c r="Y21" s="278">
        <v>10</v>
      </c>
      <c r="Z21" s="278">
        <v>11</v>
      </c>
      <c r="AA21" s="347">
        <v>12</v>
      </c>
      <c r="AB21" s="278">
        <v>13</v>
      </c>
      <c r="AC21" s="278">
        <v>14</v>
      </c>
      <c r="AD21" s="278">
        <v>13</v>
      </c>
      <c r="AE21" s="278">
        <v>13.5</v>
      </c>
      <c r="AF21" s="278">
        <v>14</v>
      </c>
      <c r="AG21" s="278">
        <v>14.5</v>
      </c>
      <c r="AH21" s="278">
        <v>15</v>
      </c>
      <c r="AI21" s="347">
        <v>15.5</v>
      </c>
      <c r="AJ21" s="278">
        <v>16</v>
      </c>
      <c r="AK21" s="278">
        <v>16.5</v>
      </c>
      <c r="AL21" s="278">
        <v>17</v>
      </c>
      <c r="AM21" s="278">
        <v>17.5</v>
      </c>
      <c r="AN21" s="278">
        <v>18</v>
      </c>
      <c r="AO21" s="278">
        <v>18.5</v>
      </c>
      <c r="AP21" s="278">
        <v>19</v>
      </c>
      <c r="AQ21" s="347">
        <v>19.5</v>
      </c>
      <c r="AR21" s="278">
        <v>20</v>
      </c>
      <c r="AS21" s="278">
        <v>20.5</v>
      </c>
      <c r="AT21" s="278">
        <v>15</v>
      </c>
    </row>
    <row r="22" spans="1:56" s="350" customFormat="1" ht="24">
      <c r="A22" s="644" t="s">
        <v>825</v>
      </c>
      <c r="B22" s="645"/>
      <c r="C22" s="411"/>
      <c r="D22" s="282"/>
      <c r="E22" s="282"/>
      <c r="F22" s="282"/>
      <c r="G22" s="282"/>
      <c r="H22" s="282"/>
      <c r="I22" s="282"/>
      <c r="J22" s="367"/>
      <c r="K22" s="368"/>
      <c r="L22" s="368"/>
      <c r="M22" s="368"/>
      <c r="N22" s="367"/>
      <c r="O22" s="368"/>
      <c r="P22" s="368"/>
      <c r="Q22" s="367"/>
      <c r="R22" s="368"/>
      <c r="S22" s="367"/>
      <c r="T22" s="367"/>
      <c r="U22" s="367"/>
      <c r="V22" s="367"/>
      <c r="W22" s="368"/>
      <c r="X22" s="368"/>
      <c r="Y22" s="367"/>
      <c r="Z22" s="368"/>
      <c r="AA22" s="367"/>
      <c r="AB22" s="367"/>
      <c r="AC22" s="367"/>
      <c r="AD22" s="367"/>
      <c r="AE22" s="367"/>
      <c r="AF22" s="367"/>
      <c r="AG22" s="367"/>
      <c r="AH22" s="367"/>
      <c r="AI22" s="367"/>
      <c r="AJ22" s="367"/>
      <c r="AK22" s="367"/>
      <c r="AL22" s="367"/>
      <c r="AM22" s="367"/>
      <c r="AN22" s="367"/>
      <c r="AO22" s="367"/>
      <c r="AP22" s="367"/>
      <c r="AQ22" s="367"/>
      <c r="AR22" s="367"/>
      <c r="AS22" s="367"/>
      <c r="AT22" s="405"/>
      <c r="AU22" s="263" t="s">
        <v>1245</v>
      </c>
      <c r="AV22" s="263" t="s">
        <v>1246</v>
      </c>
      <c r="AW22" s="263"/>
      <c r="AX22" s="263"/>
      <c r="AY22" s="263"/>
      <c r="AZ22" s="263"/>
      <c r="BA22" s="263"/>
      <c r="BB22" s="263"/>
      <c r="BC22" s="263"/>
      <c r="BD22" s="263"/>
    </row>
    <row r="23" spans="1:56" s="350" customFormat="1" ht="24">
      <c r="A23" s="555">
        <v>1</v>
      </c>
      <c r="B23" s="502" t="s">
        <v>861</v>
      </c>
      <c r="C23" s="529"/>
      <c r="D23" s="284"/>
      <c r="E23" s="284"/>
      <c r="F23" s="284"/>
      <c r="G23" s="284"/>
      <c r="H23" s="284"/>
      <c r="I23" s="284"/>
      <c r="J23" s="366"/>
      <c r="K23" s="370"/>
      <c r="L23" s="370"/>
      <c r="M23" s="370"/>
      <c r="N23" s="366"/>
      <c r="O23" s="370"/>
      <c r="P23" s="370"/>
      <c r="Q23" s="366"/>
      <c r="R23" s="370"/>
      <c r="S23" s="366"/>
      <c r="T23" s="366"/>
      <c r="U23" s="458"/>
      <c r="V23" s="366"/>
      <c r="W23" s="370"/>
      <c r="X23" s="370"/>
      <c r="Y23" s="366"/>
      <c r="Z23" s="370"/>
      <c r="AA23" s="366"/>
      <c r="AB23" s="366"/>
      <c r="AC23" s="458"/>
      <c r="AD23" s="366"/>
      <c r="AE23" s="366"/>
      <c r="AF23" s="366"/>
      <c r="AG23" s="366"/>
      <c r="AH23" s="366"/>
      <c r="AI23" s="366"/>
      <c r="AJ23" s="366"/>
      <c r="AK23" s="366"/>
      <c r="AL23" s="366"/>
      <c r="AM23" s="366"/>
      <c r="AN23" s="366"/>
      <c r="AO23" s="366"/>
      <c r="AP23" s="366"/>
      <c r="AQ23" s="366"/>
      <c r="AR23" s="366"/>
      <c r="AS23" s="366"/>
      <c r="AT23" s="360"/>
      <c r="AU23" s="263"/>
      <c r="AV23" s="263"/>
      <c r="AW23" s="263"/>
      <c r="AX23" s="263"/>
      <c r="AY23" s="263"/>
      <c r="AZ23" s="263"/>
      <c r="BA23" s="263"/>
      <c r="BB23" s="263"/>
      <c r="BC23" s="263"/>
      <c r="BD23" s="263"/>
    </row>
    <row r="24" spans="1:56" s="419" customFormat="1" ht="24">
      <c r="A24" s="501" t="s">
        <v>1189</v>
      </c>
      <c r="B24" s="549" t="s">
        <v>1179</v>
      </c>
      <c r="C24" s="532" t="s">
        <v>862</v>
      </c>
      <c r="D24" s="284"/>
      <c r="E24" s="284"/>
      <c r="F24" s="284"/>
      <c r="G24" s="284"/>
      <c r="H24" s="284"/>
      <c r="I24" s="284"/>
      <c r="J24" s="539">
        <v>1</v>
      </c>
      <c r="K24" s="536">
        <f t="shared" ref="K24:K32" si="0">(L24/$L$74)*100</f>
        <v>0</v>
      </c>
      <c r="L24" s="539">
        <v>0</v>
      </c>
      <c r="M24" s="536">
        <f>L24</f>
        <v>0</v>
      </c>
      <c r="N24" s="536">
        <v>0</v>
      </c>
      <c r="O24" s="536">
        <f t="shared" ref="O24:O32" si="1">P24/$L$74*100</f>
        <v>0</v>
      </c>
      <c r="P24" s="537">
        <v>0</v>
      </c>
      <c r="Q24" s="537">
        <v>0</v>
      </c>
      <c r="R24" s="536">
        <f>IF(N24=0,Q24/J24*K24,Q24/N24*O24)</f>
        <v>0</v>
      </c>
      <c r="S24" s="536">
        <v>0</v>
      </c>
      <c r="T24" s="537">
        <v>0</v>
      </c>
      <c r="U24" s="536">
        <f t="shared" ref="U24:U32" si="2">IFERROR(T24/P24*100,0)</f>
        <v>0</v>
      </c>
      <c r="V24" s="536">
        <f t="shared" ref="V24:V69" si="3">J24</f>
        <v>1</v>
      </c>
      <c r="W24" s="536">
        <f t="shared" ref="W24:W32" si="4">X24/$L$74*100</f>
        <v>0</v>
      </c>
      <c r="X24" s="537">
        <f>M24</f>
        <v>0</v>
      </c>
      <c r="Y24" s="537">
        <v>0</v>
      </c>
      <c r="Z24" s="536">
        <f t="shared" ref="Z24:Z73" si="5">IF(V24=0,Y24/J24*K24,Y24/V24*W24)</f>
        <v>0</v>
      </c>
      <c r="AA24" s="536">
        <v>0</v>
      </c>
      <c r="AB24" s="537">
        <v>0</v>
      </c>
      <c r="AC24" s="536">
        <f t="shared" ref="AC24:AC73" si="6">IFERROR(AB24/X24*100,0)</f>
        <v>0</v>
      </c>
      <c r="AD24" s="497"/>
      <c r="AE24" s="497"/>
      <c r="AF24" s="497"/>
      <c r="AG24" s="497"/>
      <c r="AH24" s="497"/>
      <c r="AI24" s="497"/>
      <c r="AJ24" s="497"/>
      <c r="AK24" s="497"/>
      <c r="AL24" s="497"/>
      <c r="AM24" s="497"/>
      <c r="AN24" s="497"/>
      <c r="AO24" s="497"/>
      <c r="AP24" s="497"/>
      <c r="AQ24" s="497"/>
      <c r="AR24" s="497"/>
      <c r="AS24" s="497"/>
      <c r="AT24" s="499"/>
      <c r="AU24" s="525">
        <f>'[2]3rd Trimester Progress(Sangh)'!AB24</f>
        <v>0</v>
      </c>
      <c r="AV24" s="525">
        <f>AB24-AU24</f>
        <v>0</v>
      </c>
      <c r="AW24" s="418"/>
      <c r="AX24" s="418"/>
      <c r="AY24" s="418"/>
      <c r="AZ24" s="418"/>
      <c r="BA24" s="418"/>
      <c r="BB24" s="418"/>
      <c r="BC24" s="418"/>
      <c r="BD24" s="418"/>
    </row>
    <row r="25" spans="1:56" s="419" customFormat="1" ht="48">
      <c r="A25" s="501" t="s">
        <v>1190</v>
      </c>
      <c r="B25" s="550" t="s">
        <v>1180</v>
      </c>
      <c r="C25" s="532" t="s">
        <v>862</v>
      </c>
      <c r="D25" s="284"/>
      <c r="E25" s="284"/>
      <c r="F25" s="284"/>
      <c r="G25" s="284"/>
      <c r="H25" s="284"/>
      <c r="I25" s="284"/>
      <c r="J25" s="539">
        <v>1</v>
      </c>
      <c r="K25" s="536">
        <f t="shared" si="0"/>
        <v>10.641058915131067</v>
      </c>
      <c r="L25" s="539">
        <v>205</v>
      </c>
      <c r="M25" s="536">
        <f t="shared" ref="M25:M32" si="7">L25</f>
        <v>205</v>
      </c>
      <c r="N25" s="536">
        <v>1</v>
      </c>
      <c r="O25" s="536">
        <f t="shared" si="1"/>
        <v>2.8549182455229691</v>
      </c>
      <c r="P25" s="537">
        <v>55</v>
      </c>
      <c r="Q25" s="537">
        <v>0.3</v>
      </c>
      <c r="R25" s="536">
        <f t="shared" ref="R25:R40" si="8">IF(N25=0,Q25/J25*K25,Q25/N25*O25)</f>
        <v>0.8564754736568907</v>
      </c>
      <c r="S25" s="536">
        <f t="shared" ref="S25:S40" si="9">ROUND(IF(O25=0,R25/K25*100,R25/O25*100),2)</f>
        <v>30</v>
      </c>
      <c r="T25" s="537">
        <v>59.104530000000011</v>
      </c>
      <c r="U25" s="536">
        <f t="shared" si="2"/>
        <v>107.46278181818182</v>
      </c>
      <c r="V25" s="536">
        <f t="shared" si="3"/>
        <v>1</v>
      </c>
      <c r="W25" s="536">
        <f t="shared" si="4"/>
        <v>10.641058915131067</v>
      </c>
      <c r="X25" s="537">
        <f t="shared" ref="X25:X73" si="10">M25</f>
        <v>205</v>
      </c>
      <c r="Y25" s="537">
        <v>1</v>
      </c>
      <c r="Z25" s="536">
        <f>IF(V25=0,Y25/J25*K25,Y25/V25*W25)</f>
        <v>10.641058915131067</v>
      </c>
      <c r="AA25" s="536">
        <f>ROUND(IF(W25=0,Z25/K25*100,Z25/W25*100),2)</f>
        <v>100</v>
      </c>
      <c r="AB25" s="537">
        <v>204.05453</v>
      </c>
      <c r="AC25" s="536">
        <f t="shared" si="6"/>
        <v>99.538795121951225</v>
      </c>
      <c r="AD25" s="497"/>
      <c r="AE25" s="497"/>
      <c r="AF25" s="497"/>
      <c r="AG25" s="497"/>
      <c r="AH25" s="497"/>
      <c r="AI25" s="497"/>
      <c r="AJ25" s="497"/>
      <c r="AK25" s="497"/>
      <c r="AL25" s="497"/>
      <c r="AM25" s="497"/>
      <c r="AN25" s="497"/>
      <c r="AO25" s="497"/>
      <c r="AP25" s="497"/>
      <c r="AQ25" s="497"/>
      <c r="AR25" s="497"/>
      <c r="AS25" s="497"/>
      <c r="AT25" s="499"/>
      <c r="AU25" s="525">
        <f>'[2]3rd Trimester Progress(Sangh)'!AB25</f>
        <v>144.94999999999999</v>
      </c>
      <c r="AV25" s="525">
        <f t="shared" ref="AV25:AV69" si="11">AB25-AU25</f>
        <v>59.104530000000011</v>
      </c>
      <c r="AW25" s="418"/>
      <c r="AX25" s="418"/>
      <c r="AY25" s="418"/>
      <c r="AZ25" s="418"/>
      <c r="BA25" s="418"/>
      <c r="BB25" s="418"/>
      <c r="BC25" s="418"/>
      <c r="BD25" s="418"/>
    </row>
    <row r="26" spans="1:56" s="419" customFormat="1" ht="24">
      <c r="A26" s="501" t="s">
        <v>1191</v>
      </c>
      <c r="B26" s="550" t="s">
        <v>1181</v>
      </c>
      <c r="C26" s="532" t="s">
        <v>862</v>
      </c>
      <c r="D26" s="284"/>
      <c r="E26" s="284"/>
      <c r="F26" s="284"/>
      <c r="G26" s="284"/>
      <c r="H26" s="284"/>
      <c r="I26" s="284"/>
      <c r="J26" s="539">
        <v>1</v>
      </c>
      <c r="K26" s="536">
        <f t="shared" si="0"/>
        <v>8.3052167142486386</v>
      </c>
      <c r="L26" s="539">
        <v>160</v>
      </c>
      <c r="M26" s="536">
        <f t="shared" si="7"/>
        <v>160</v>
      </c>
      <c r="N26" s="536">
        <v>1</v>
      </c>
      <c r="O26" s="536">
        <f t="shared" si="1"/>
        <v>2.5953802232026995</v>
      </c>
      <c r="P26" s="537">
        <v>50</v>
      </c>
      <c r="Q26" s="537">
        <v>0.4</v>
      </c>
      <c r="R26" s="536">
        <f t="shared" si="8"/>
        <v>1.0381520892810798</v>
      </c>
      <c r="S26" s="536">
        <f t="shared" si="9"/>
        <v>40</v>
      </c>
      <c r="T26" s="537">
        <v>62.405210000000011</v>
      </c>
      <c r="U26" s="536">
        <f t="shared" si="2"/>
        <v>124.81042000000002</v>
      </c>
      <c r="V26" s="536">
        <f t="shared" si="3"/>
        <v>1</v>
      </c>
      <c r="W26" s="536">
        <f t="shared" si="4"/>
        <v>8.3052167142486386</v>
      </c>
      <c r="X26" s="537">
        <f t="shared" si="10"/>
        <v>160</v>
      </c>
      <c r="Y26" s="537">
        <v>1</v>
      </c>
      <c r="Z26" s="536">
        <f t="shared" si="5"/>
        <v>8.3052167142486386</v>
      </c>
      <c r="AA26" s="536">
        <f t="shared" ref="AA24:AA32" si="12">ROUND(IF(W26=0,Z26/K26*100,Z26/W26*100),2)</f>
        <v>100</v>
      </c>
      <c r="AB26" s="537">
        <v>159.78521000000001</v>
      </c>
      <c r="AC26" s="536">
        <f t="shared" si="6"/>
        <v>99.865756250000004</v>
      </c>
      <c r="AD26" s="497"/>
      <c r="AE26" s="497"/>
      <c r="AF26" s="497"/>
      <c r="AG26" s="497"/>
      <c r="AH26" s="497"/>
      <c r="AI26" s="497"/>
      <c r="AJ26" s="497"/>
      <c r="AK26" s="497"/>
      <c r="AL26" s="497"/>
      <c r="AM26" s="497"/>
      <c r="AN26" s="497"/>
      <c r="AO26" s="497"/>
      <c r="AP26" s="497"/>
      <c r="AQ26" s="497"/>
      <c r="AR26" s="497"/>
      <c r="AS26" s="497"/>
      <c r="AT26" s="499"/>
      <c r="AU26" s="525">
        <f>'[2]3rd Trimester Progress(Sangh)'!AB26</f>
        <v>97.38</v>
      </c>
      <c r="AV26" s="525">
        <f t="shared" si="11"/>
        <v>62.405210000000011</v>
      </c>
      <c r="AW26" s="418"/>
      <c r="AX26" s="418"/>
      <c r="AY26" s="418"/>
      <c r="AZ26" s="418"/>
      <c r="BA26" s="418"/>
      <c r="BB26" s="418"/>
      <c r="BC26" s="418"/>
      <c r="BD26" s="418"/>
    </row>
    <row r="27" spans="1:56" s="419" customFormat="1" ht="24">
      <c r="A27" s="501" t="s">
        <v>1183</v>
      </c>
      <c r="B27" s="503" t="s">
        <v>1182</v>
      </c>
      <c r="C27" s="532" t="s">
        <v>862</v>
      </c>
      <c r="D27" s="284"/>
      <c r="E27" s="284"/>
      <c r="F27" s="284"/>
      <c r="G27" s="284"/>
      <c r="H27" s="284"/>
      <c r="I27" s="284"/>
      <c r="J27" s="539">
        <v>1</v>
      </c>
      <c r="K27" s="536">
        <f t="shared" si="0"/>
        <v>7.7861406696080975</v>
      </c>
      <c r="L27" s="539">
        <v>150</v>
      </c>
      <c r="M27" s="536">
        <f t="shared" si="7"/>
        <v>150</v>
      </c>
      <c r="N27" s="536">
        <v>0</v>
      </c>
      <c r="O27" s="536">
        <f t="shared" si="1"/>
        <v>0</v>
      </c>
      <c r="P27" s="537">
        <v>0</v>
      </c>
      <c r="Q27" s="537">
        <v>0.45</v>
      </c>
      <c r="R27" s="536">
        <f t="shared" si="8"/>
        <v>3.503763301323644</v>
      </c>
      <c r="S27" s="536">
        <f t="shared" si="9"/>
        <v>45</v>
      </c>
      <c r="T27" s="537">
        <v>76.976210000000009</v>
      </c>
      <c r="U27" s="536">
        <f t="shared" si="2"/>
        <v>0</v>
      </c>
      <c r="V27" s="536">
        <f t="shared" si="3"/>
        <v>1</v>
      </c>
      <c r="W27" s="536">
        <f t="shared" si="4"/>
        <v>7.7861406696080975</v>
      </c>
      <c r="X27" s="537">
        <f t="shared" si="10"/>
        <v>150</v>
      </c>
      <c r="Y27" s="537">
        <v>1</v>
      </c>
      <c r="Z27" s="536">
        <f t="shared" si="5"/>
        <v>7.7861406696080975</v>
      </c>
      <c r="AA27" s="536">
        <f t="shared" si="12"/>
        <v>100</v>
      </c>
      <c r="AB27" s="537">
        <v>149.57621</v>
      </c>
      <c r="AC27" s="536">
        <f t="shared" si="6"/>
        <v>99.717473333333345</v>
      </c>
      <c r="AD27" s="497"/>
      <c r="AE27" s="497"/>
      <c r="AF27" s="497"/>
      <c r="AG27" s="497"/>
      <c r="AH27" s="497"/>
      <c r="AI27" s="497"/>
      <c r="AJ27" s="497"/>
      <c r="AK27" s="497"/>
      <c r="AL27" s="497"/>
      <c r="AM27" s="497"/>
      <c r="AN27" s="497"/>
      <c r="AO27" s="497"/>
      <c r="AP27" s="497"/>
      <c r="AQ27" s="497"/>
      <c r="AR27" s="497"/>
      <c r="AS27" s="497"/>
      <c r="AT27" s="499"/>
      <c r="AU27" s="525">
        <f>'[2]3rd Trimester Progress(Sangh)'!AB27</f>
        <v>72.599999999999994</v>
      </c>
      <c r="AV27" s="525">
        <f t="shared" si="11"/>
        <v>76.976210000000009</v>
      </c>
      <c r="AW27" s="418"/>
      <c r="AX27" s="418"/>
      <c r="AY27" s="418"/>
      <c r="AZ27" s="418"/>
      <c r="BA27" s="418"/>
      <c r="BB27" s="418"/>
      <c r="BC27" s="418"/>
      <c r="BD27" s="418"/>
    </row>
    <row r="28" spans="1:56" s="419" customFormat="1" ht="24">
      <c r="A28" s="501" t="s">
        <v>1185</v>
      </c>
      <c r="B28" s="550" t="s">
        <v>1184</v>
      </c>
      <c r="C28" s="532" t="s">
        <v>862</v>
      </c>
      <c r="D28" s="284"/>
      <c r="E28" s="284"/>
      <c r="F28" s="284"/>
      <c r="G28" s="284"/>
      <c r="H28" s="284"/>
      <c r="I28" s="284"/>
      <c r="J28" s="539">
        <v>1</v>
      </c>
      <c r="K28" s="536">
        <f t="shared" si="0"/>
        <v>6.3067739423825593</v>
      </c>
      <c r="L28" s="539">
        <v>121.5</v>
      </c>
      <c r="M28" s="536">
        <f t="shared" si="7"/>
        <v>121.5</v>
      </c>
      <c r="N28" s="536">
        <v>1</v>
      </c>
      <c r="O28" s="536">
        <f t="shared" si="1"/>
        <v>1.1160134959771606</v>
      </c>
      <c r="P28" s="537">
        <v>21.5</v>
      </c>
      <c r="Q28" s="537">
        <v>0.25</v>
      </c>
      <c r="R28" s="536">
        <f t="shared" si="8"/>
        <v>0.27900337399429015</v>
      </c>
      <c r="S28" s="536">
        <f t="shared" si="9"/>
        <v>25</v>
      </c>
      <c r="T28" s="537">
        <v>50.136619999999994</v>
      </c>
      <c r="U28" s="536">
        <f t="shared" si="2"/>
        <v>233.19358139534882</v>
      </c>
      <c r="V28" s="536">
        <f t="shared" si="3"/>
        <v>1</v>
      </c>
      <c r="W28" s="536">
        <f t="shared" si="4"/>
        <v>6.3067739423825593</v>
      </c>
      <c r="X28" s="537">
        <f t="shared" si="10"/>
        <v>121.5</v>
      </c>
      <c r="Y28" s="537">
        <v>1</v>
      </c>
      <c r="Z28" s="536">
        <f t="shared" si="5"/>
        <v>6.3067739423825593</v>
      </c>
      <c r="AA28" s="536">
        <f t="shared" si="12"/>
        <v>100</v>
      </c>
      <c r="AB28" s="546">
        <v>121.49661999999999</v>
      </c>
      <c r="AC28" s="536">
        <f t="shared" si="6"/>
        <v>99.997218106995874</v>
      </c>
      <c r="AD28" s="497"/>
      <c r="AE28" s="497"/>
      <c r="AF28" s="497"/>
      <c r="AG28" s="497"/>
      <c r="AH28" s="497"/>
      <c r="AI28" s="497"/>
      <c r="AJ28" s="497"/>
      <c r="AK28" s="497"/>
      <c r="AL28" s="497"/>
      <c r="AM28" s="497"/>
      <c r="AN28" s="497"/>
      <c r="AO28" s="497"/>
      <c r="AP28" s="497"/>
      <c r="AQ28" s="497"/>
      <c r="AR28" s="497"/>
      <c r="AS28" s="497"/>
      <c r="AT28" s="499"/>
      <c r="AU28" s="525">
        <f>'[2]3rd Trimester Progress(Sangh)'!AB28</f>
        <v>71.36</v>
      </c>
      <c r="AV28" s="525">
        <f t="shared" si="11"/>
        <v>50.136619999999994</v>
      </c>
      <c r="AW28" s="418"/>
      <c r="AX28" s="418"/>
      <c r="AY28" s="418"/>
      <c r="AZ28" s="418"/>
      <c r="BA28" s="418"/>
      <c r="BB28" s="418"/>
      <c r="BC28" s="418"/>
      <c r="BD28" s="418"/>
    </row>
    <row r="29" spans="1:56" s="419" customFormat="1" ht="48">
      <c r="A29" s="501" t="s">
        <v>1192</v>
      </c>
      <c r="B29" s="523" t="s">
        <v>1178</v>
      </c>
      <c r="C29" s="532" t="s">
        <v>862</v>
      </c>
      <c r="D29" s="284"/>
      <c r="E29" s="284"/>
      <c r="F29" s="284"/>
      <c r="G29" s="284"/>
      <c r="H29" s="284"/>
      <c r="I29" s="284"/>
      <c r="J29" s="539">
        <v>1</v>
      </c>
      <c r="K29" s="536">
        <f t="shared" si="0"/>
        <v>10.381520892810798</v>
      </c>
      <c r="L29" s="539">
        <v>200</v>
      </c>
      <c r="M29" s="536">
        <f t="shared" si="7"/>
        <v>200</v>
      </c>
      <c r="N29" s="536">
        <v>0</v>
      </c>
      <c r="O29" s="536">
        <f t="shared" si="1"/>
        <v>0</v>
      </c>
      <c r="P29" s="537">
        <v>0</v>
      </c>
      <c r="Q29" s="537">
        <v>0.3</v>
      </c>
      <c r="R29" s="536">
        <f t="shared" si="8"/>
        <v>3.1144562678432393</v>
      </c>
      <c r="S29" s="536">
        <f t="shared" si="9"/>
        <v>30</v>
      </c>
      <c r="T29" s="537">
        <v>68.480680000000007</v>
      </c>
      <c r="U29" s="536">
        <f t="shared" si="2"/>
        <v>0</v>
      </c>
      <c r="V29" s="536">
        <f t="shared" si="3"/>
        <v>1</v>
      </c>
      <c r="W29" s="536">
        <f t="shared" si="4"/>
        <v>10.381520892810798</v>
      </c>
      <c r="X29" s="537">
        <f t="shared" si="10"/>
        <v>200</v>
      </c>
      <c r="Y29" s="537">
        <v>1</v>
      </c>
      <c r="Z29" s="536">
        <f t="shared" si="5"/>
        <v>10.381520892810798</v>
      </c>
      <c r="AA29" s="536">
        <f t="shared" si="12"/>
        <v>100</v>
      </c>
      <c r="AB29" s="537">
        <v>199.99068</v>
      </c>
      <c r="AC29" s="536">
        <f t="shared" si="6"/>
        <v>99.995339999999999</v>
      </c>
      <c r="AD29" s="497"/>
      <c r="AE29" s="497"/>
      <c r="AF29" s="497"/>
      <c r="AG29" s="497"/>
      <c r="AH29" s="497"/>
      <c r="AI29" s="497"/>
      <c r="AJ29" s="497"/>
      <c r="AK29" s="497"/>
      <c r="AL29" s="497"/>
      <c r="AM29" s="497"/>
      <c r="AN29" s="497"/>
      <c r="AO29" s="497"/>
      <c r="AP29" s="497"/>
      <c r="AQ29" s="497"/>
      <c r="AR29" s="497"/>
      <c r="AS29" s="497"/>
      <c r="AT29" s="499"/>
      <c r="AU29" s="525">
        <f>'[2]3rd Trimester Progress(Sangh)'!AB29</f>
        <v>131.51</v>
      </c>
      <c r="AV29" s="525">
        <f t="shared" si="11"/>
        <v>68.480680000000007</v>
      </c>
      <c r="AW29" s="418"/>
      <c r="AX29" s="418"/>
      <c r="AY29" s="418"/>
      <c r="AZ29" s="418"/>
      <c r="BA29" s="418"/>
      <c r="BB29" s="418"/>
      <c r="BC29" s="418"/>
      <c r="BD29" s="418"/>
    </row>
    <row r="30" spans="1:56" s="419" customFormat="1" ht="24">
      <c r="A30" s="501" t="s">
        <v>1186</v>
      </c>
      <c r="B30" s="549" t="s">
        <v>1187</v>
      </c>
      <c r="C30" s="532" t="s">
        <v>862</v>
      </c>
      <c r="D30" s="284"/>
      <c r="E30" s="284"/>
      <c r="F30" s="284"/>
      <c r="G30" s="284"/>
      <c r="H30" s="284"/>
      <c r="I30" s="284"/>
      <c r="J30" s="539">
        <v>1</v>
      </c>
      <c r="K30" s="536">
        <f t="shared" si="0"/>
        <v>9.8624448481702576</v>
      </c>
      <c r="L30" s="539">
        <v>190</v>
      </c>
      <c r="M30" s="536">
        <f t="shared" si="7"/>
        <v>190</v>
      </c>
      <c r="N30" s="536">
        <v>1</v>
      </c>
      <c r="O30" s="536">
        <f t="shared" si="1"/>
        <v>2.0763041785621597</v>
      </c>
      <c r="P30" s="537">
        <v>40</v>
      </c>
      <c r="Q30" s="537">
        <v>0.35</v>
      </c>
      <c r="R30" s="536">
        <f t="shared" si="8"/>
        <v>0.72670646249675586</v>
      </c>
      <c r="S30" s="536">
        <f t="shared" si="9"/>
        <v>35</v>
      </c>
      <c r="T30" s="537">
        <v>62.962479999999999</v>
      </c>
      <c r="U30" s="536">
        <f t="shared" si="2"/>
        <v>157.40620000000001</v>
      </c>
      <c r="V30" s="536">
        <f t="shared" si="3"/>
        <v>1</v>
      </c>
      <c r="W30" s="536">
        <f t="shared" si="4"/>
        <v>9.8624448481702576</v>
      </c>
      <c r="X30" s="537">
        <f t="shared" si="10"/>
        <v>190</v>
      </c>
      <c r="Y30" s="537">
        <v>1</v>
      </c>
      <c r="Z30" s="536">
        <f t="shared" si="5"/>
        <v>9.8624448481702576</v>
      </c>
      <c r="AA30" s="536">
        <f t="shared" si="12"/>
        <v>100</v>
      </c>
      <c r="AB30" s="537">
        <v>188.62248</v>
      </c>
      <c r="AC30" s="536">
        <f t="shared" si="6"/>
        <v>99.274989473684201</v>
      </c>
      <c r="AD30" s="497"/>
      <c r="AE30" s="497"/>
      <c r="AF30" s="497"/>
      <c r="AG30" s="497"/>
      <c r="AH30" s="497"/>
      <c r="AI30" s="497"/>
      <c r="AJ30" s="497"/>
      <c r="AK30" s="497"/>
      <c r="AL30" s="497"/>
      <c r="AM30" s="497"/>
      <c r="AN30" s="497"/>
      <c r="AO30" s="497"/>
      <c r="AP30" s="497"/>
      <c r="AQ30" s="497"/>
      <c r="AR30" s="497"/>
      <c r="AS30" s="497"/>
      <c r="AT30" s="499"/>
      <c r="AU30" s="525">
        <f>'[2]3rd Trimester Progress(Sangh)'!AB30</f>
        <v>125.66</v>
      </c>
      <c r="AV30" s="525">
        <f t="shared" si="11"/>
        <v>62.962479999999999</v>
      </c>
      <c r="AW30" s="418"/>
      <c r="AX30" s="418"/>
      <c r="AY30" s="418"/>
      <c r="AZ30" s="418"/>
      <c r="BA30" s="418"/>
      <c r="BB30" s="418"/>
      <c r="BC30" s="418"/>
      <c r="BD30" s="418"/>
    </row>
    <row r="31" spans="1:56" s="419" customFormat="1" ht="48">
      <c r="A31" s="501" t="s">
        <v>1193</v>
      </c>
      <c r="B31" s="503" t="s">
        <v>1188</v>
      </c>
      <c r="C31" s="532" t="s">
        <v>862</v>
      </c>
      <c r="D31" s="284"/>
      <c r="E31" s="284"/>
      <c r="F31" s="284"/>
      <c r="G31" s="284"/>
      <c r="H31" s="284"/>
      <c r="I31" s="284"/>
      <c r="J31" s="539">
        <v>1</v>
      </c>
      <c r="K31" s="536">
        <f t="shared" si="0"/>
        <v>10.381520892810798</v>
      </c>
      <c r="L31" s="539">
        <v>200</v>
      </c>
      <c r="M31" s="536">
        <f t="shared" si="7"/>
        <v>200</v>
      </c>
      <c r="N31" s="536">
        <v>0</v>
      </c>
      <c r="O31" s="536">
        <f t="shared" si="1"/>
        <v>0</v>
      </c>
      <c r="P31" s="537">
        <v>0</v>
      </c>
      <c r="Q31" s="537">
        <v>0.5</v>
      </c>
      <c r="R31" s="536">
        <f t="shared" si="8"/>
        <v>5.1907604464053989</v>
      </c>
      <c r="S31" s="536">
        <f t="shared" si="9"/>
        <v>50</v>
      </c>
      <c r="T31" s="537">
        <v>94.338450000000009</v>
      </c>
      <c r="U31" s="536">
        <f t="shared" si="2"/>
        <v>0</v>
      </c>
      <c r="V31" s="536">
        <f t="shared" si="3"/>
        <v>1</v>
      </c>
      <c r="W31" s="536">
        <f t="shared" si="4"/>
        <v>10.381520892810798</v>
      </c>
      <c r="X31" s="537">
        <f t="shared" si="10"/>
        <v>200</v>
      </c>
      <c r="Y31" s="537">
        <v>1</v>
      </c>
      <c r="Z31" s="536">
        <f t="shared" si="5"/>
        <v>10.381520892810798</v>
      </c>
      <c r="AA31" s="536">
        <f t="shared" si="12"/>
        <v>100</v>
      </c>
      <c r="AB31" s="537">
        <v>197.07845</v>
      </c>
      <c r="AC31" s="536">
        <f t="shared" si="6"/>
        <v>98.539225000000002</v>
      </c>
      <c r="AD31" s="497"/>
      <c r="AE31" s="497"/>
      <c r="AF31" s="497"/>
      <c r="AG31" s="497"/>
      <c r="AH31" s="497"/>
      <c r="AI31" s="497"/>
      <c r="AJ31" s="497"/>
      <c r="AK31" s="497"/>
      <c r="AL31" s="497"/>
      <c r="AM31" s="497"/>
      <c r="AN31" s="497"/>
      <c r="AO31" s="497"/>
      <c r="AP31" s="497"/>
      <c r="AQ31" s="497"/>
      <c r="AR31" s="497"/>
      <c r="AS31" s="497"/>
      <c r="AT31" s="499"/>
      <c r="AU31" s="525">
        <f>'[2]3rd Trimester Progress(Sangh)'!AB31</f>
        <v>102.74</v>
      </c>
      <c r="AV31" s="525">
        <f t="shared" si="11"/>
        <v>94.338450000000009</v>
      </c>
      <c r="AW31" s="418"/>
      <c r="AX31" s="418"/>
      <c r="AY31" s="418"/>
      <c r="AZ31" s="418"/>
      <c r="BA31" s="418"/>
      <c r="BB31" s="418"/>
      <c r="BC31" s="418"/>
      <c r="BD31" s="418"/>
    </row>
    <row r="32" spans="1:56" s="419" customFormat="1" ht="48">
      <c r="A32" s="501" t="s">
        <v>1195</v>
      </c>
      <c r="B32" s="550" t="s">
        <v>1194</v>
      </c>
      <c r="C32" s="532" t="s">
        <v>862</v>
      </c>
      <c r="D32" s="433"/>
      <c r="E32" s="433"/>
      <c r="F32" s="433"/>
      <c r="G32" s="433"/>
      <c r="H32" s="433"/>
      <c r="I32" s="433"/>
      <c r="J32" s="539">
        <v>1</v>
      </c>
      <c r="K32" s="536">
        <f t="shared" si="0"/>
        <v>0.25953802232026996</v>
      </c>
      <c r="L32" s="539">
        <v>5</v>
      </c>
      <c r="M32" s="536">
        <f t="shared" si="7"/>
        <v>5</v>
      </c>
      <c r="N32" s="536">
        <v>0</v>
      </c>
      <c r="O32" s="536">
        <f t="shared" si="1"/>
        <v>0</v>
      </c>
      <c r="P32" s="537">
        <v>0</v>
      </c>
      <c r="Q32" s="537">
        <v>0</v>
      </c>
      <c r="R32" s="536">
        <f t="shared" si="8"/>
        <v>0</v>
      </c>
      <c r="S32" s="536">
        <f t="shared" si="9"/>
        <v>0</v>
      </c>
      <c r="T32" s="537">
        <v>0</v>
      </c>
      <c r="U32" s="536">
        <f t="shared" si="2"/>
        <v>0</v>
      </c>
      <c r="V32" s="536">
        <f t="shared" si="3"/>
        <v>1</v>
      </c>
      <c r="W32" s="536">
        <f t="shared" si="4"/>
        <v>0.25953802232026996</v>
      </c>
      <c r="X32" s="537">
        <f t="shared" si="10"/>
        <v>5</v>
      </c>
      <c r="Y32" s="537">
        <v>0</v>
      </c>
      <c r="Z32" s="536">
        <f t="shared" si="5"/>
        <v>0</v>
      </c>
      <c r="AA32" s="536">
        <f t="shared" si="12"/>
        <v>0</v>
      </c>
      <c r="AB32" s="537">
        <v>0</v>
      </c>
      <c r="AC32" s="536">
        <f t="shared" si="6"/>
        <v>0</v>
      </c>
      <c r="AD32" s="497"/>
      <c r="AE32" s="497"/>
      <c r="AF32" s="497"/>
      <c r="AG32" s="497"/>
      <c r="AH32" s="497"/>
      <c r="AI32" s="497"/>
      <c r="AJ32" s="497"/>
      <c r="AK32" s="497"/>
      <c r="AL32" s="497"/>
      <c r="AM32" s="497"/>
      <c r="AN32" s="497"/>
      <c r="AO32" s="497"/>
      <c r="AP32" s="497"/>
      <c r="AQ32" s="497"/>
      <c r="AR32" s="497"/>
      <c r="AS32" s="497"/>
      <c r="AT32" s="499"/>
      <c r="AU32" s="525">
        <f>'[2]3rd Trimester Progress(Sangh)'!AB32</f>
        <v>0</v>
      </c>
      <c r="AV32" s="525">
        <f t="shared" si="11"/>
        <v>0</v>
      </c>
      <c r="AW32" s="418"/>
      <c r="AX32" s="418"/>
      <c r="AY32" s="418"/>
      <c r="AZ32" s="418"/>
      <c r="BA32" s="418"/>
      <c r="BB32" s="418"/>
      <c r="BC32" s="418"/>
      <c r="BD32" s="418"/>
    </row>
    <row r="33" spans="1:56" s="419" customFormat="1" ht="24">
      <c r="A33" s="556">
        <v>2</v>
      </c>
      <c r="B33" s="502" t="s">
        <v>1196</v>
      </c>
      <c r="C33" s="532"/>
      <c r="D33" s="284"/>
      <c r="E33" s="284"/>
      <c r="F33" s="284"/>
      <c r="G33" s="284"/>
      <c r="H33" s="284"/>
      <c r="I33" s="284"/>
      <c r="J33" s="539"/>
      <c r="K33" s="536"/>
      <c r="L33" s="540"/>
      <c r="M33" s="536"/>
      <c r="N33" s="536"/>
      <c r="O33" s="536"/>
      <c r="P33" s="536"/>
      <c r="Q33" s="537"/>
      <c r="R33" s="536"/>
      <c r="S33" s="536"/>
      <c r="T33" s="536"/>
      <c r="U33" s="536"/>
      <c r="V33" s="536"/>
      <c r="W33" s="536"/>
      <c r="X33" s="537"/>
      <c r="Y33" s="537"/>
      <c r="Z33" s="536"/>
      <c r="AA33" s="536"/>
      <c r="AB33" s="536"/>
      <c r="AC33" s="536"/>
      <c r="AD33" s="497"/>
      <c r="AE33" s="497"/>
      <c r="AF33" s="497"/>
      <c r="AG33" s="497"/>
      <c r="AH33" s="497"/>
      <c r="AI33" s="497"/>
      <c r="AJ33" s="497"/>
      <c r="AK33" s="497"/>
      <c r="AL33" s="497"/>
      <c r="AM33" s="497"/>
      <c r="AN33" s="497"/>
      <c r="AO33" s="497"/>
      <c r="AP33" s="497"/>
      <c r="AQ33" s="497"/>
      <c r="AR33" s="497"/>
      <c r="AS33" s="497"/>
      <c r="AT33" s="499"/>
      <c r="AU33" s="525">
        <f>'[2]3rd Trimester Progress(Sangh)'!AB33</f>
        <v>0</v>
      </c>
      <c r="AV33" s="525">
        <f t="shared" si="11"/>
        <v>0</v>
      </c>
      <c r="AW33" s="418"/>
      <c r="AX33" s="418"/>
      <c r="AY33" s="418"/>
      <c r="AZ33" s="418"/>
      <c r="BA33" s="418"/>
      <c r="BB33" s="418"/>
      <c r="BC33" s="418"/>
      <c r="BD33" s="418"/>
    </row>
    <row r="34" spans="1:56" s="421" customFormat="1" ht="24">
      <c r="A34" s="501" t="s">
        <v>1204</v>
      </c>
      <c r="B34" s="503" t="s">
        <v>1197</v>
      </c>
      <c r="C34" s="532" t="s">
        <v>857</v>
      </c>
      <c r="D34" s="284"/>
      <c r="E34" s="284"/>
      <c r="F34" s="284"/>
      <c r="G34" s="284"/>
      <c r="H34" s="284"/>
      <c r="I34" s="284"/>
      <c r="J34" s="539">
        <v>1</v>
      </c>
      <c r="K34" s="536">
        <f t="shared" ref="K34:K63" si="13">(L34/$L$74)*100</f>
        <v>2.5953802232026995</v>
      </c>
      <c r="L34" s="539">
        <v>50</v>
      </c>
      <c r="M34" s="538">
        <f>L34</f>
        <v>50</v>
      </c>
      <c r="N34" s="536">
        <v>0</v>
      </c>
      <c r="O34" s="536">
        <f t="shared" ref="O34:O63" si="14">P34/$L$74*100</f>
        <v>0</v>
      </c>
      <c r="P34" s="537">
        <v>0</v>
      </c>
      <c r="Q34" s="537">
        <v>0.65</v>
      </c>
      <c r="R34" s="536">
        <f t="shared" si="8"/>
        <v>1.6869971450817547</v>
      </c>
      <c r="S34" s="536">
        <f t="shared" si="9"/>
        <v>65</v>
      </c>
      <c r="T34" s="537">
        <v>32.697209999999998</v>
      </c>
      <c r="U34" s="536">
        <f t="shared" ref="U34:U63" si="15">IFERROR(T34/P34*100,0)</f>
        <v>0</v>
      </c>
      <c r="V34" s="536">
        <f t="shared" si="3"/>
        <v>1</v>
      </c>
      <c r="W34" s="536">
        <f t="shared" ref="W34:W63" si="16">X34/$L$74*100</f>
        <v>2.5953802232026995</v>
      </c>
      <c r="X34" s="537">
        <f t="shared" si="10"/>
        <v>50</v>
      </c>
      <c r="Y34" s="537">
        <v>1</v>
      </c>
      <c r="Z34" s="536">
        <f t="shared" si="5"/>
        <v>2.5953802232026995</v>
      </c>
      <c r="AA34" s="536">
        <f t="shared" ref="AA34:AA73" si="17">ROUND(IF(W34=0,Z34/K34*100,Z34/W34*100),2)</f>
        <v>100</v>
      </c>
      <c r="AB34" s="537">
        <v>49.787210000000002</v>
      </c>
      <c r="AC34" s="536">
        <f t="shared" si="6"/>
        <v>99.574420000000003</v>
      </c>
      <c r="AD34" s="498">
        <v>5</v>
      </c>
      <c r="AE34" s="500">
        <v>0.12</v>
      </c>
      <c r="AF34" s="498">
        <v>1.5</v>
      </c>
      <c r="AG34" s="498">
        <v>5</v>
      </c>
      <c r="AH34" s="498"/>
      <c r="AI34" s="498">
        <f>AE34/AD34*AG34</f>
        <v>0.12</v>
      </c>
      <c r="AJ34" s="498"/>
      <c r="AK34" s="498"/>
      <c r="AL34" s="498"/>
      <c r="AM34" s="498"/>
      <c r="AN34" s="498"/>
      <c r="AO34" s="498"/>
      <c r="AP34" s="498">
        <v>15</v>
      </c>
      <c r="AQ34" s="498">
        <v>0.37</v>
      </c>
      <c r="AR34" s="497"/>
      <c r="AS34" s="497"/>
      <c r="AT34" s="499"/>
      <c r="AU34" s="525">
        <f>'[2]3rd Trimester Progress(Sangh)'!AB34</f>
        <v>17.09</v>
      </c>
      <c r="AV34" s="525">
        <f t="shared" si="11"/>
        <v>32.697209999999998</v>
      </c>
      <c r="AW34" s="420"/>
      <c r="AX34" s="420"/>
      <c r="AY34" s="420"/>
      <c r="AZ34" s="420"/>
      <c r="BA34" s="420"/>
      <c r="BB34" s="420"/>
      <c r="BC34" s="420"/>
      <c r="BD34" s="420"/>
    </row>
    <row r="35" spans="1:56" s="421" customFormat="1" ht="48">
      <c r="A35" s="501" t="s">
        <v>1205</v>
      </c>
      <c r="B35" s="550" t="s">
        <v>1198</v>
      </c>
      <c r="C35" s="532" t="s">
        <v>857</v>
      </c>
      <c r="D35" s="284"/>
      <c r="E35" s="284"/>
      <c r="F35" s="284"/>
      <c r="G35" s="284"/>
      <c r="H35" s="284"/>
      <c r="I35" s="284"/>
      <c r="J35" s="539">
        <v>1</v>
      </c>
      <c r="K35" s="536">
        <f t="shared" si="13"/>
        <v>0</v>
      </c>
      <c r="L35" s="539">
        <v>0</v>
      </c>
      <c r="M35" s="538">
        <f t="shared" ref="M35:M63" si="18">L35</f>
        <v>0</v>
      </c>
      <c r="N35" s="536">
        <v>0</v>
      </c>
      <c r="O35" s="536">
        <f t="shared" si="14"/>
        <v>0</v>
      </c>
      <c r="P35" s="537">
        <v>0</v>
      </c>
      <c r="Q35" s="537">
        <v>0</v>
      </c>
      <c r="R35" s="536">
        <f t="shared" si="8"/>
        <v>0</v>
      </c>
      <c r="S35" s="536">
        <v>0</v>
      </c>
      <c r="T35" s="537">
        <v>0</v>
      </c>
      <c r="U35" s="536">
        <f t="shared" si="15"/>
        <v>0</v>
      </c>
      <c r="V35" s="536">
        <f t="shared" si="3"/>
        <v>1</v>
      </c>
      <c r="W35" s="536">
        <f t="shared" si="16"/>
        <v>0</v>
      </c>
      <c r="X35" s="537">
        <f t="shared" si="10"/>
        <v>0</v>
      </c>
      <c r="Y35" s="537">
        <v>0</v>
      </c>
      <c r="Z35" s="536">
        <f t="shared" si="5"/>
        <v>0</v>
      </c>
      <c r="AA35" s="536">
        <v>0</v>
      </c>
      <c r="AB35" s="537">
        <v>0</v>
      </c>
      <c r="AC35" s="536">
        <f t="shared" si="6"/>
        <v>0</v>
      </c>
      <c r="AD35" s="497">
        <v>0</v>
      </c>
      <c r="AE35" s="500">
        <v>0</v>
      </c>
      <c r="AF35" s="497">
        <v>0</v>
      </c>
      <c r="AG35" s="497">
        <v>6</v>
      </c>
      <c r="AH35" s="497"/>
      <c r="AI35" s="498">
        <f>K35/J35*AG35</f>
        <v>0</v>
      </c>
      <c r="AJ35" s="498"/>
      <c r="AK35" s="498"/>
      <c r="AL35" s="498"/>
      <c r="AM35" s="498"/>
      <c r="AN35" s="498"/>
      <c r="AO35" s="498"/>
      <c r="AP35" s="498">
        <f t="shared" ref="AP35:AP64" si="19">AG35+Y35</f>
        <v>6</v>
      </c>
      <c r="AQ35" s="498">
        <v>1.48</v>
      </c>
      <c r="AR35" s="497"/>
      <c r="AS35" s="497"/>
      <c r="AT35" s="499"/>
      <c r="AU35" s="525">
        <f>'[2]3rd Trimester Progress(Sangh)'!AB35</f>
        <v>0</v>
      </c>
      <c r="AV35" s="525">
        <f t="shared" si="11"/>
        <v>0</v>
      </c>
      <c r="AW35" s="420"/>
      <c r="AX35" s="420"/>
      <c r="AY35" s="420"/>
      <c r="AZ35" s="420"/>
      <c r="BA35" s="420"/>
      <c r="BB35" s="420"/>
      <c r="BC35" s="420"/>
      <c r="BD35" s="420"/>
    </row>
    <row r="36" spans="1:56" s="421" customFormat="1" ht="48">
      <c r="A36" s="501" t="s">
        <v>1206</v>
      </c>
      <c r="B36" s="503" t="s">
        <v>1199</v>
      </c>
      <c r="C36" s="532" t="s">
        <v>857</v>
      </c>
      <c r="D36" s="284"/>
      <c r="E36" s="284"/>
      <c r="F36" s="284"/>
      <c r="G36" s="284"/>
      <c r="H36" s="284"/>
      <c r="I36" s="284"/>
      <c r="J36" s="539">
        <v>1</v>
      </c>
      <c r="K36" s="536">
        <f t="shared" si="13"/>
        <v>1.2976901116013497</v>
      </c>
      <c r="L36" s="539">
        <v>25</v>
      </c>
      <c r="M36" s="538">
        <f t="shared" si="18"/>
        <v>25</v>
      </c>
      <c r="N36" s="536">
        <v>0</v>
      </c>
      <c r="O36" s="536">
        <f t="shared" si="14"/>
        <v>0</v>
      </c>
      <c r="P36" s="537">
        <v>0</v>
      </c>
      <c r="Q36" s="537">
        <v>0.3</v>
      </c>
      <c r="R36" s="536">
        <f t="shared" si="8"/>
        <v>0.38930703348040491</v>
      </c>
      <c r="S36" s="536">
        <f t="shared" si="9"/>
        <v>30</v>
      </c>
      <c r="T36" s="537">
        <v>7.3143400000000014</v>
      </c>
      <c r="U36" s="536">
        <f t="shared" si="15"/>
        <v>0</v>
      </c>
      <c r="V36" s="536">
        <f t="shared" si="3"/>
        <v>1</v>
      </c>
      <c r="W36" s="536">
        <f t="shared" si="16"/>
        <v>1.2976901116013497</v>
      </c>
      <c r="X36" s="537">
        <f t="shared" si="10"/>
        <v>25</v>
      </c>
      <c r="Y36" s="537">
        <v>1</v>
      </c>
      <c r="Z36" s="536">
        <f t="shared" si="5"/>
        <v>1.2976901116013497</v>
      </c>
      <c r="AA36" s="536">
        <f t="shared" si="17"/>
        <v>100</v>
      </c>
      <c r="AB36" s="537">
        <v>24.96434</v>
      </c>
      <c r="AC36" s="536">
        <f t="shared" si="6"/>
        <v>99.85736</v>
      </c>
      <c r="AD36" s="497"/>
      <c r="AE36" s="500"/>
      <c r="AF36" s="497"/>
      <c r="AG36" s="497"/>
      <c r="AH36" s="497"/>
      <c r="AI36" s="498"/>
      <c r="AJ36" s="498"/>
      <c r="AK36" s="498"/>
      <c r="AL36" s="498"/>
      <c r="AM36" s="498"/>
      <c r="AN36" s="498"/>
      <c r="AO36" s="498"/>
      <c r="AP36" s="498"/>
      <c r="AQ36" s="498"/>
      <c r="AR36" s="497"/>
      <c r="AS36" s="497"/>
      <c r="AT36" s="499"/>
      <c r="AU36" s="525">
        <f>'[2]3rd Trimester Progress(Sangh)'!AB36</f>
        <v>17.649999999999999</v>
      </c>
      <c r="AV36" s="525">
        <f t="shared" si="11"/>
        <v>7.3143400000000014</v>
      </c>
      <c r="AW36" s="420"/>
      <c r="AX36" s="420"/>
      <c r="AY36" s="420"/>
      <c r="AZ36" s="420"/>
      <c r="BA36" s="420"/>
      <c r="BB36" s="420"/>
      <c r="BC36" s="420"/>
      <c r="BD36" s="420"/>
    </row>
    <row r="37" spans="1:56" s="421" customFormat="1" ht="24">
      <c r="A37" s="501" t="s">
        <v>1209</v>
      </c>
      <c r="B37" s="503" t="s">
        <v>1202</v>
      </c>
      <c r="C37" s="532" t="s">
        <v>857</v>
      </c>
      <c r="D37" s="284"/>
      <c r="E37" s="284"/>
      <c r="F37" s="284"/>
      <c r="G37" s="284"/>
      <c r="H37" s="284"/>
      <c r="I37" s="284"/>
      <c r="J37" s="539">
        <v>1</v>
      </c>
      <c r="K37" s="536">
        <f t="shared" si="13"/>
        <v>2.5953802232026995</v>
      </c>
      <c r="L37" s="539">
        <v>50</v>
      </c>
      <c r="M37" s="538">
        <f t="shared" si="18"/>
        <v>50</v>
      </c>
      <c r="N37" s="536">
        <v>0</v>
      </c>
      <c r="O37" s="536">
        <f t="shared" si="14"/>
        <v>0</v>
      </c>
      <c r="P37" s="537">
        <v>0</v>
      </c>
      <c r="Q37" s="537">
        <v>0</v>
      </c>
      <c r="R37" s="536">
        <f t="shared" si="8"/>
        <v>0</v>
      </c>
      <c r="S37" s="536">
        <f t="shared" si="9"/>
        <v>0</v>
      </c>
      <c r="T37" s="537">
        <v>0</v>
      </c>
      <c r="U37" s="536">
        <f t="shared" si="15"/>
        <v>0</v>
      </c>
      <c r="V37" s="536">
        <f t="shared" si="3"/>
        <v>1</v>
      </c>
      <c r="W37" s="536">
        <f t="shared" si="16"/>
        <v>2.5953802232026995</v>
      </c>
      <c r="X37" s="537">
        <f t="shared" si="10"/>
        <v>50</v>
      </c>
      <c r="Y37" s="537">
        <v>1</v>
      </c>
      <c r="Z37" s="536">
        <f t="shared" si="5"/>
        <v>2.5953802232026995</v>
      </c>
      <c r="AA37" s="536">
        <f t="shared" si="17"/>
        <v>100</v>
      </c>
      <c r="AB37" s="537">
        <v>49.99</v>
      </c>
      <c r="AC37" s="536">
        <f t="shared" si="6"/>
        <v>99.98</v>
      </c>
      <c r="AD37" s="497"/>
      <c r="AE37" s="500"/>
      <c r="AF37" s="497"/>
      <c r="AG37" s="497"/>
      <c r="AH37" s="497"/>
      <c r="AI37" s="498"/>
      <c r="AJ37" s="498"/>
      <c r="AK37" s="498"/>
      <c r="AL37" s="498"/>
      <c r="AM37" s="498"/>
      <c r="AN37" s="498"/>
      <c r="AO37" s="498"/>
      <c r="AP37" s="498"/>
      <c r="AQ37" s="498"/>
      <c r="AR37" s="497"/>
      <c r="AS37" s="497"/>
      <c r="AT37" s="499"/>
      <c r="AU37" s="525">
        <f>'[2]3rd Trimester Progress(Sangh)'!AB37</f>
        <v>49.99</v>
      </c>
      <c r="AV37" s="525">
        <f t="shared" si="11"/>
        <v>0</v>
      </c>
      <c r="AW37" s="420"/>
      <c r="AX37" s="420"/>
      <c r="AY37" s="420"/>
      <c r="AZ37" s="420"/>
      <c r="BA37" s="420"/>
      <c r="BB37" s="420"/>
      <c r="BC37" s="420"/>
      <c r="BD37" s="420"/>
    </row>
    <row r="38" spans="1:56" s="421" customFormat="1" ht="24.75" customHeight="1">
      <c r="A38" s="501" t="s">
        <v>1210</v>
      </c>
      <c r="B38" s="503" t="s">
        <v>1203</v>
      </c>
      <c r="C38" s="532" t="s">
        <v>857</v>
      </c>
      <c r="D38" s="284"/>
      <c r="E38" s="284"/>
      <c r="F38" s="284"/>
      <c r="G38" s="284"/>
      <c r="H38" s="284"/>
      <c r="I38" s="284"/>
      <c r="J38" s="539">
        <v>1</v>
      </c>
      <c r="K38" s="536">
        <f t="shared" si="13"/>
        <v>2.5953802232026995</v>
      </c>
      <c r="L38" s="539">
        <v>50</v>
      </c>
      <c r="M38" s="538">
        <f t="shared" si="18"/>
        <v>50</v>
      </c>
      <c r="N38" s="536">
        <v>0</v>
      </c>
      <c r="O38" s="536">
        <f t="shared" si="14"/>
        <v>0</v>
      </c>
      <c r="P38" s="537">
        <v>0</v>
      </c>
      <c r="Q38" s="537">
        <v>0</v>
      </c>
      <c r="R38" s="536">
        <f t="shared" si="8"/>
        <v>0</v>
      </c>
      <c r="S38" s="536">
        <f t="shared" si="9"/>
        <v>0</v>
      </c>
      <c r="T38" s="537">
        <v>0</v>
      </c>
      <c r="U38" s="536">
        <f t="shared" si="15"/>
        <v>0</v>
      </c>
      <c r="V38" s="536">
        <f t="shared" si="3"/>
        <v>1</v>
      </c>
      <c r="W38" s="536">
        <f t="shared" si="16"/>
        <v>2.5953802232026995</v>
      </c>
      <c r="X38" s="537">
        <f t="shared" si="10"/>
        <v>50</v>
      </c>
      <c r="Y38" s="537">
        <v>1</v>
      </c>
      <c r="Z38" s="536">
        <f t="shared" si="5"/>
        <v>2.5953802232026995</v>
      </c>
      <c r="AA38" s="536">
        <f t="shared" si="17"/>
        <v>100</v>
      </c>
      <c r="AB38" s="537">
        <v>49.99</v>
      </c>
      <c r="AC38" s="536">
        <f t="shared" si="6"/>
        <v>99.98</v>
      </c>
      <c r="AD38" s="497"/>
      <c r="AE38" s="500"/>
      <c r="AF38" s="497"/>
      <c r="AG38" s="497"/>
      <c r="AH38" s="497"/>
      <c r="AI38" s="498"/>
      <c r="AJ38" s="498"/>
      <c r="AK38" s="498"/>
      <c r="AL38" s="498"/>
      <c r="AM38" s="498"/>
      <c r="AN38" s="498"/>
      <c r="AO38" s="498"/>
      <c r="AP38" s="498"/>
      <c r="AQ38" s="498"/>
      <c r="AR38" s="497"/>
      <c r="AS38" s="497"/>
      <c r="AT38" s="499"/>
      <c r="AU38" s="525">
        <f>'[2]3rd Trimester Progress(Sangh)'!AB38</f>
        <v>49.99</v>
      </c>
      <c r="AV38" s="525">
        <f t="shared" si="11"/>
        <v>0</v>
      </c>
      <c r="AW38" s="420"/>
      <c r="AX38" s="420"/>
      <c r="AY38" s="420"/>
      <c r="AZ38" s="420"/>
      <c r="BA38" s="420"/>
      <c r="BB38" s="420"/>
      <c r="BC38" s="420"/>
      <c r="BD38" s="420"/>
    </row>
    <row r="39" spans="1:56" s="421" customFormat="1" ht="48">
      <c r="A39" s="501" t="s">
        <v>1208</v>
      </c>
      <c r="B39" s="503" t="s">
        <v>1201</v>
      </c>
      <c r="C39" s="532" t="s">
        <v>857</v>
      </c>
      <c r="D39" s="284"/>
      <c r="E39" s="284"/>
      <c r="F39" s="284"/>
      <c r="G39" s="284"/>
      <c r="H39" s="284"/>
      <c r="I39" s="284"/>
      <c r="J39" s="539">
        <v>1</v>
      </c>
      <c r="K39" s="536">
        <f t="shared" si="13"/>
        <v>1.5572281339216196</v>
      </c>
      <c r="L39" s="539">
        <v>30</v>
      </c>
      <c r="M39" s="538">
        <f t="shared" si="18"/>
        <v>30</v>
      </c>
      <c r="N39" s="536">
        <v>0</v>
      </c>
      <c r="O39" s="536">
        <f t="shared" si="14"/>
        <v>0</v>
      </c>
      <c r="P39" s="537">
        <v>0</v>
      </c>
      <c r="Q39" s="537">
        <v>0</v>
      </c>
      <c r="R39" s="536">
        <f t="shared" si="8"/>
        <v>0</v>
      </c>
      <c r="S39" s="536">
        <f t="shared" si="9"/>
        <v>0</v>
      </c>
      <c r="T39" s="537">
        <v>0</v>
      </c>
      <c r="U39" s="536">
        <f t="shared" si="15"/>
        <v>0</v>
      </c>
      <c r="V39" s="536">
        <f t="shared" si="3"/>
        <v>1</v>
      </c>
      <c r="W39" s="536">
        <f t="shared" si="16"/>
        <v>1.5572281339216196</v>
      </c>
      <c r="X39" s="537">
        <f t="shared" si="10"/>
        <v>30</v>
      </c>
      <c r="Y39" s="537">
        <v>1</v>
      </c>
      <c r="Z39" s="536">
        <f t="shared" si="5"/>
        <v>1.5572281339216196</v>
      </c>
      <c r="AA39" s="536">
        <f t="shared" si="17"/>
        <v>100</v>
      </c>
      <c r="AB39" s="537">
        <v>29.99</v>
      </c>
      <c r="AC39" s="536">
        <f t="shared" si="6"/>
        <v>99.966666666666654</v>
      </c>
      <c r="AD39" s="497"/>
      <c r="AE39" s="500"/>
      <c r="AF39" s="497"/>
      <c r="AG39" s="497"/>
      <c r="AH39" s="497"/>
      <c r="AI39" s="498"/>
      <c r="AJ39" s="498"/>
      <c r="AK39" s="498"/>
      <c r="AL39" s="498"/>
      <c r="AM39" s="498"/>
      <c r="AN39" s="498"/>
      <c r="AO39" s="498"/>
      <c r="AP39" s="498"/>
      <c r="AQ39" s="498"/>
      <c r="AR39" s="497"/>
      <c r="AS39" s="497"/>
      <c r="AT39" s="499"/>
      <c r="AU39" s="525">
        <f>'[2]3rd Trimester Progress(Sangh)'!AB39</f>
        <v>29.99</v>
      </c>
      <c r="AV39" s="525">
        <f t="shared" si="11"/>
        <v>0</v>
      </c>
      <c r="AW39" s="420"/>
      <c r="AX39" s="420"/>
      <c r="AY39" s="420"/>
      <c r="AZ39" s="420"/>
      <c r="BA39" s="420"/>
      <c r="BB39" s="420"/>
      <c r="BC39" s="420"/>
      <c r="BD39" s="420"/>
    </row>
    <row r="40" spans="1:56" s="421" customFormat="1" ht="24">
      <c r="A40" s="501" t="s">
        <v>1207</v>
      </c>
      <c r="B40" s="503" t="s">
        <v>1200</v>
      </c>
      <c r="C40" s="553" t="s">
        <v>857</v>
      </c>
      <c r="D40" s="296"/>
      <c r="E40" s="296"/>
      <c r="F40" s="296"/>
      <c r="G40" s="296"/>
      <c r="H40" s="296"/>
      <c r="I40" s="296"/>
      <c r="J40" s="554">
        <v>1</v>
      </c>
      <c r="K40" s="536">
        <f t="shared" si="13"/>
        <v>5.1907604464053989</v>
      </c>
      <c r="L40" s="539">
        <v>100</v>
      </c>
      <c r="M40" s="538">
        <f t="shared" si="18"/>
        <v>100</v>
      </c>
      <c r="N40" s="536">
        <v>1</v>
      </c>
      <c r="O40" s="536">
        <f t="shared" si="14"/>
        <v>2.5953802232026995</v>
      </c>
      <c r="P40" s="537">
        <v>50</v>
      </c>
      <c r="Q40" s="537">
        <v>0.5</v>
      </c>
      <c r="R40" s="536">
        <f t="shared" si="8"/>
        <v>1.2976901116013497</v>
      </c>
      <c r="S40" s="536">
        <f t="shared" si="9"/>
        <v>50</v>
      </c>
      <c r="T40" s="537">
        <v>48.925760000000004</v>
      </c>
      <c r="U40" s="536">
        <f t="shared" si="15"/>
        <v>97.851520000000008</v>
      </c>
      <c r="V40" s="536">
        <f t="shared" si="3"/>
        <v>1</v>
      </c>
      <c r="W40" s="536">
        <f t="shared" si="16"/>
        <v>5.1907604464053989</v>
      </c>
      <c r="X40" s="537">
        <f t="shared" si="10"/>
        <v>100</v>
      </c>
      <c r="Y40" s="537">
        <v>1</v>
      </c>
      <c r="Z40" s="536">
        <f t="shared" si="5"/>
        <v>5.1907604464053989</v>
      </c>
      <c r="AA40" s="536">
        <f t="shared" si="17"/>
        <v>100</v>
      </c>
      <c r="AB40" s="537">
        <v>98.915760000000006</v>
      </c>
      <c r="AC40" s="536">
        <f t="shared" si="6"/>
        <v>98.915760000000006</v>
      </c>
      <c r="AD40" s="497"/>
      <c r="AE40" s="500"/>
      <c r="AF40" s="497"/>
      <c r="AG40" s="497"/>
      <c r="AH40" s="497"/>
      <c r="AI40" s="498"/>
      <c r="AJ40" s="498"/>
      <c r="AK40" s="498"/>
      <c r="AL40" s="498"/>
      <c r="AM40" s="498"/>
      <c r="AN40" s="498"/>
      <c r="AO40" s="498"/>
      <c r="AP40" s="498"/>
      <c r="AQ40" s="498"/>
      <c r="AR40" s="497"/>
      <c r="AS40" s="497"/>
      <c r="AT40" s="499"/>
      <c r="AU40" s="525">
        <f>'[2]3rd Trimester Progress(Sangh)'!AB40</f>
        <v>49.99</v>
      </c>
      <c r="AV40" s="525">
        <f t="shared" si="11"/>
        <v>48.925760000000004</v>
      </c>
      <c r="AW40" s="420"/>
      <c r="AX40" s="420"/>
      <c r="AY40" s="420"/>
      <c r="AZ40" s="420"/>
      <c r="BA40" s="420"/>
      <c r="BB40" s="420"/>
      <c r="BC40" s="420"/>
      <c r="BD40" s="420"/>
    </row>
    <row r="41" spans="1:56" s="421" customFormat="1" ht="43.5" customHeight="1">
      <c r="A41" s="501" t="s">
        <v>1247</v>
      </c>
      <c r="B41" s="503" t="s">
        <v>1248</v>
      </c>
      <c r="C41" s="553" t="s">
        <v>794</v>
      </c>
      <c r="D41" s="552"/>
      <c r="E41" s="552"/>
      <c r="F41" s="552"/>
      <c r="G41" s="552"/>
      <c r="H41" s="552"/>
      <c r="I41" s="552"/>
      <c r="J41" s="539">
        <v>1</v>
      </c>
      <c r="K41" s="536">
        <f t="shared" si="13"/>
        <v>1.0381520892810798</v>
      </c>
      <c r="L41" s="539">
        <v>20</v>
      </c>
      <c r="M41" s="538">
        <f t="shared" si="18"/>
        <v>20</v>
      </c>
      <c r="N41" s="536">
        <v>0</v>
      </c>
      <c r="O41" s="536">
        <f t="shared" si="14"/>
        <v>0</v>
      </c>
      <c r="P41" s="537">
        <v>0</v>
      </c>
      <c r="Q41" s="537">
        <v>0</v>
      </c>
      <c r="R41" s="536">
        <f t="shared" ref="R41:R69" si="20">IF(N41=0,Q41/J41*K41,Q41/N41*O41)</f>
        <v>0</v>
      </c>
      <c r="S41" s="536">
        <f t="shared" ref="S41:S69" si="21">ROUND(IF(O41=0,R41/K41*100,R41/O41*100),2)</f>
        <v>0</v>
      </c>
      <c r="T41" s="537">
        <v>0</v>
      </c>
      <c r="U41" s="536">
        <f t="shared" si="15"/>
        <v>0</v>
      </c>
      <c r="V41" s="536">
        <f t="shared" si="3"/>
        <v>1</v>
      </c>
      <c r="W41" s="536">
        <f t="shared" si="16"/>
        <v>1.0381520892810798</v>
      </c>
      <c r="X41" s="537">
        <f t="shared" si="10"/>
        <v>20</v>
      </c>
      <c r="Y41" s="537">
        <v>0</v>
      </c>
      <c r="Z41" s="536">
        <f t="shared" si="5"/>
        <v>0</v>
      </c>
      <c r="AA41" s="536">
        <f t="shared" si="17"/>
        <v>0</v>
      </c>
      <c r="AB41" s="537">
        <v>0</v>
      </c>
      <c r="AC41" s="536">
        <f t="shared" si="6"/>
        <v>0</v>
      </c>
      <c r="AD41" s="497"/>
      <c r="AE41" s="500"/>
      <c r="AF41" s="497"/>
      <c r="AG41" s="497"/>
      <c r="AH41" s="497"/>
      <c r="AI41" s="498"/>
      <c r="AJ41" s="498"/>
      <c r="AK41" s="498"/>
      <c r="AL41" s="498"/>
      <c r="AM41" s="498"/>
      <c r="AN41" s="498"/>
      <c r="AO41" s="498"/>
      <c r="AP41" s="498"/>
      <c r="AQ41" s="498"/>
      <c r="AR41" s="497"/>
      <c r="AS41" s="497"/>
      <c r="AT41" s="499"/>
      <c r="AU41" s="525"/>
      <c r="AV41" s="525"/>
      <c r="AW41" s="420"/>
      <c r="AX41" s="420"/>
      <c r="AY41" s="420"/>
      <c r="AZ41" s="420"/>
      <c r="BA41" s="420"/>
      <c r="BB41" s="420"/>
      <c r="BC41" s="420"/>
      <c r="BD41" s="420"/>
    </row>
    <row r="42" spans="1:56" s="421" customFormat="1" ht="48">
      <c r="A42" s="501" t="s">
        <v>1249</v>
      </c>
      <c r="B42" s="503" t="s">
        <v>1250</v>
      </c>
      <c r="C42" s="553" t="s">
        <v>794</v>
      </c>
      <c r="D42" s="552"/>
      <c r="E42" s="552"/>
      <c r="F42" s="552"/>
      <c r="G42" s="552"/>
      <c r="H42" s="552"/>
      <c r="I42" s="552"/>
      <c r="J42" s="539">
        <v>1</v>
      </c>
      <c r="K42" s="536">
        <f t="shared" si="13"/>
        <v>0.51907604464053991</v>
      </c>
      <c r="L42" s="539">
        <v>10</v>
      </c>
      <c r="M42" s="538">
        <f t="shared" si="18"/>
        <v>10</v>
      </c>
      <c r="N42" s="536">
        <v>0</v>
      </c>
      <c r="O42" s="536">
        <f t="shared" si="14"/>
        <v>0</v>
      </c>
      <c r="P42" s="537">
        <v>0</v>
      </c>
      <c r="Q42" s="537">
        <v>0</v>
      </c>
      <c r="R42" s="536">
        <f t="shared" si="20"/>
        <v>0</v>
      </c>
      <c r="S42" s="536">
        <f t="shared" si="21"/>
        <v>0</v>
      </c>
      <c r="T42" s="537">
        <v>0</v>
      </c>
      <c r="U42" s="536">
        <f t="shared" si="15"/>
        <v>0</v>
      </c>
      <c r="V42" s="536">
        <f t="shared" si="3"/>
        <v>1</v>
      </c>
      <c r="W42" s="536">
        <f t="shared" si="16"/>
        <v>0.51907604464053991</v>
      </c>
      <c r="X42" s="537">
        <f t="shared" si="10"/>
        <v>10</v>
      </c>
      <c r="Y42" s="537">
        <v>0</v>
      </c>
      <c r="Z42" s="536">
        <f t="shared" si="5"/>
        <v>0</v>
      </c>
      <c r="AA42" s="536">
        <f t="shared" si="17"/>
        <v>0</v>
      </c>
      <c r="AB42" s="537">
        <v>0</v>
      </c>
      <c r="AC42" s="536">
        <f t="shared" si="6"/>
        <v>0</v>
      </c>
      <c r="AD42" s="497"/>
      <c r="AE42" s="500"/>
      <c r="AF42" s="497"/>
      <c r="AG42" s="497"/>
      <c r="AH42" s="497"/>
      <c r="AI42" s="498"/>
      <c r="AJ42" s="498"/>
      <c r="AK42" s="498"/>
      <c r="AL42" s="498"/>
      <c r="AM42" s="498"/>
      <c r="AN42" s="498"/>
      <c r="AO42" s="498"/>
      <c r="AP42" s="498"/>
      <c r="AQ42" s="498"/>
      <c r="AR42" s="497"/>
      <c r="AS42" s="497"/>
      <c r="AT42" s="499"/>
      <c r="AU42" s="525"/>
      <c r="AV42" s="525"/>
      <c r="AW42" s="420"/>
      <c r="AX42" s="420"/>
      <c r="AY42" s="420"/>
      <c r="AZ42" s="420"/>
      <c r="BA42" s="420"/>
      <c r="BB42" s="420"/>
      <c r="BC42" s="420"/>
      <c r="BD42" s="420"/>
    </row>
    <row r="43" spans="1:56" s="421" customFormat="1" ht="48">
      <c r="A43" s="501" t="s">
        <v>1251</v>
      </c>
      <c r="B43" s="503" t="s">
        <v>1252</v>
      </c>
      <c r="C43" s="553" t="s">
        <v>794</v>
      </c>
      <c r="D43" s="552"/>
      <c r="E43" s="552"/>
      <c r="F43" s="552"/>
      <c r="G43" s="552"/>
      <c r="H43" s="552"/>
      <c r="I43" s="552"/>
      <c r="J43" s="539">
        <v>1</v>
      </c>
      <c r="K43" s="536">
        <f t="shared" si="13"/>
        <v>0.51907604464053991</v>
      </c>
      <c r="L43" s="539">
        <v>10</v>
      </c>
      <c r="M43" s="538">
        <f t="shared" si="18"/>
        <v>10</v>
      </c>
      <c r="N43" s="536">
        <v>0</v>
      </c>
      <c r="O43" s="536">
        <f t="shared" si="14"/>
        <v>0</v>
      </c>
      <c r="P43" s="537">
        <v>0</v>
      </c>
      <c r="Q43" s="537">
        <v>0</v>
      </c>
      <c r="R43" s="536">
        <f t="shared" si="20"/>
        <v>0</v>
      </c>
      <c r="S43" s="536">
        <f t="shared" si="21"/>
        <v>0</v>
      </c>
      <c r="T43" s="537">
        <v>0</v>
      </c>
      <c r="U43" s="536">
        <f t="shared" si="15"/>
        <v>0</v>
      </c>
      <c r="V43" s="536">
        <f t="shared" si="3"/>
        <v>1</v>
      </c>
      <c r="W43" s="536">
        <f t="shared" si="16"/>
        <v>0.51907604464053991</v>
      </c>
      <c r="X43" s="537">
        <f t="shared" si="10"/>
        <v>10</v>
      </c>
      <c r="Y43" s="537">
        <v>0</v>
      </c>
      <c r="Z43" s="536">
        <f t="shared" si="5"/>
        <v>0</v>
      </c>
      <c r="AA43" s="536">
        <f t="shared" si="17"/>
        <v>0</v>
      </c>
      <c r="AB43" s="537">
        <v>0</v>
      </c>
      <c r="AC43" s="536">
        <f t="shared" si="6"/>
        <v>0</v>
      </c>
      <c r="AD43" s="497"/>
      <c r="AE43" s="500"/>
      <c r="AF43" s="497"/>
      <c r="AG43" s="497"/>
      <c r="AH43" s="497"/>
      <c r="AI43" s="498"/>
      <c r="AJ43" s="498"/>
      <c r="AK43" s="498"/>
      <c r="AL43" s="498"/>
      <c r="AM43" s="498"/>
      <c r="AN43" s="498"/>
      <c r="AO43" s="498"/>
      <c r="AP43" s="498"/>
      <c r="AQ43" s="498"/>
      <c r="AR43" s="497"/>
      <c r="AS43" s="497"/>
      <c r="AT43" s="499"/>
      <c r="AU43" s="525"/>
      <c r="AV43" s="525"/>
      <c r="AW43" s="420"/>
      <c r="AX43" s="420"/>
      <c r="AY43" s="420"/>
      <c r="AZ43" s="420"/>
      <c r="BA43" s="420"/>
      <c r="BB43" s="420"/>
      <c r="BC43" s="420"/>
      <c r="BD43" s="420"/>
    </row>
    <row r="44" spans="1:56" s="421" customFormat="1" ht="48">
      <c r="A44" s="501" t="s">
        <v>1253</v>
      </c>
      <c r="B44" s="503" t="s">
        <v>1254</v>
      </c>
      <c r="C44" s="553" t="s">
        <v>794</v>
      </c>
      <c r="D44" s="552"/>
      <c r="E44" s="552"/>
      <c r="F44" s="552"/>
      <c r="G44" s="552"/>
      <c r="H44" s="552"/>
      <c r="I44" s="552"/>
      <c r="J44" s="539">
        <v>1</v>
      </c>
      <c r="K44" s="536">
        <f t="shared" si="13"/>
        <v>0.51907604464053991</v>
      </c>
      <c r="L44" s="539">
        <v>10</v>
      </c>
      <c r="M44" s="538">
        <f t="shared" si="18"/>
        <v>10</v>
      </c>
      <c r="N44" s="536">
        <v>0</v>
      </c>
      <c r="O44" s="536">
        <f t="shared" si="14"/>
        <v>0</v>
      </c>
      <c r="P44" s="537">
        <v>0</v>
      </c>
      <c r="Q44" s="537">
        <v>0</v>
      </c>
      <c r="R44" s="536">
        <f t="shared" si="20"/>
        <v>0</v>
      </c>
      <c r="S44" s="536">
        <f t="shared" si="21"/>
        <v>0</v>
      </c>
      <c r="T44" s="537">
        <v>0</v>
      </c>
      <c r="U44" s="536">
        <f t="shared" si="15"/>
        <v>0</v>
      </c>
      <c r="V44" s="536">
        <f t="shared" si="3"/>
        <v>1</v>
      </c>
      <c r="W44" s="536">
        <f t="shared" si="16"/>
        <v>0.51907604464053991</v>
      </c>
      <c r="X44" s="537">
        <f t="shared" si="10"/>
        <v>10</v>
      </c>
      <c r="Y44" s="537">
        <v>0</v>
      </c>
      <c r="Z44" s="536">
        <f t="shared" si="5"/>
        <v>0</v>
      </c>
      <c r="AA44" s="536">
        <f t="shared" si="17"/>
        <v>0</v>
      </c>
      <c r="AB44" s="537">
        <v>0</v>
      </c>
      <c r="AC44" s="536">
        <f t="shared" si="6"/>
        <v>0</v>
      </c>
      <c r="AD44" s="497"/>
      <c r="AE44" s="500"/>
      <c r="AF44" s="497"/>
      <c r="AG44" s="497"/>
      <c r="AH44" s="497"/>
      <c r="AI44" s="498"/>
      <c r="AJ44" s="498"/>
      <c r="AK44" s="498"/>
      <c r="AL44" s="498"/>
      <c r="AM44" s="498"/>
      <c r="AN44" s="498"/>
      <c r="AO44" s="498"/>
      <c r="AP44" s="498"/>
      <c r="AQ44" s="498"/>
      <c r="AR44" s="497"/>
      <c r="AS44" s="497"/>
      <c r="AT44" s="499"/>
      <c r="AU44" s="525"/>
      <c r="AV44" s="525"/>
      <c r="AW44" s="420"/>
      <c r="AX44" s="420"/>
      <c r="AY44" s="420"/>
      <c r="AZ44" s="420"/>
      <c r="BA44" s="420"/>
      <c r="BB44" s="420"/>
      <c r="BC44" s="420"/>
      <c r="BD44" s="420"/>
    </row>
    <row r="45" spans="1:56" s="421" customFormat="1" ht="48">
      <c r="A45" s="501" t="s">
        <v>1255</v>
      </c>
      <c r="B45" s="503" t="s">
        <v>1256</v>
      </c>
      <c r="C45" s="553" t="s">
        <v>794</v>
      </c>
      <c r="D45" s="552"/>
      <c r="E45" s="552"/>
      <c r="F45" s="552"/>
      <c r="G45" s="552"/>
      <c r="H45" s="552"/>
      <c r="I45" s="552"/>
      <c r="J45" s="539">
        <v>1</v>
      </c>
      <c r="K45" s="536">
        <f t="shared" si="13"/>
        <v>0.51907604464053991</v>
      </c>
      <c r="L45" s="539">
        <v>10</v>
      </c>
      <c r="M45" s="538">
        <f t="shared" si="18"/>
        <v>10</v>
      </c>
      <c r="N45" s="536">
        <v>0</v>
      </c>
      <c r="O45" s="536">
        <f t="shared" si="14"/>
        <v>0</v>
      </c>
      <c r="P45" s="537">
        <v>0</v>
      </c>
      <c r="Q45" s="537">
        <v>0</v>
      </c>
      <c r="R45" s="536">
        <f t="shared" si="20"/>
        <v>0</v>
      </c>
      <c r="S45" s="536">
        <f t="shared" si="21"/>
        <v>0</v>
      </c>
      <c r="T45" s="537">
        <v>0</v>
      </c>
      <c r="U45" s="536">
        <f t="shared" si="15"/>
        <v>0</v>
      </c>
      <c r="V45" s="536">
        <f t="shared" si="3"/>
        <v>1</v>
      </c>
      <c r="W45" s="536">
        <f t="shared" si="16"/>
        <v>0.51907604464053991</v>
      </c>
      <c r="X45" s="537">
        <f t="shared" si="10"/>
        <v>10</v>
      </c>
      <c r="Y45" s="537">
        <v>0</v>
      </c>
      <c r="Z45" s="536">
        <f t="shared" si="5"/>
        <v>0</v>
      </c>
      <c r="AA45" s="536">
        <f t="shared" si="17"/>
        <v>0</v>
      </c>
      <c r="AB45" s="537">
        <v>0</v>
      </c>
      <c r="AC45" s="536">
        <f t="shared" si="6"/>
        <v>0</v>
      </c>
      <c r="AD45" s="497"/>
      <c r="AE45" s="500"/>
      <c r="AF45" s="497"/>
      <c r="AG45" s="497"/>
      <c r="AH45" s="497"/>
      <c r="AI45" s="498"/>
      <c r="AJ45" s="498"/>
      <c r="AK45" s="498"/>
      <c r="AL45" s="498"/>
      <c r="AM45" s="498"/>
      <c r="AN45" s="498"/>
      <c r="AO45" s="498"/>
      <c r="AP45" s="498"/>
      <c r="AQ45" s="498"/>
      <c r="AR45" s="497"/>
      <c r="AS45" s="497"/>
      <c r="AT45" s="499"/>
      <c r="AU45" s="525"/>
      <c r="AV45" s="525"/>
      <c r="AW45" s="420"/>
      <c r="AX45" s="420"/>
      <c r="AY45" s="420"/>
      <c r="AZ45" s="420"/>
      <c r="BA45" s="420"/>
      <c r="BB45" s="420"/>
      <c r="BC45" s="420"/>
      <c r="BD45" s="420"/>
    </row>
    <row r="46" spans="1:56" s="421" customFormat="1" ht="48">
      <c r="A46" s="501" t="s">
        <v>1257</v>
      </c>
      <c r="B46" s="503" t="s">
        <v>1290</v>
      </c>
      <c r="C46" s="553" t="s">
        <v>794</v>
      </c>
      <c r="D46" s="552"/>
      <c r="E46" s="552"/>
      <c r="F46" s="552"/>
      <c r="G46" s="552"/>
      <c r="H46" s="552"/>
      <c r="I46" s="552"/>
      <c r="J46" s="539">
        <v>1</v>
      </c>
      <c r="K46" s="536">
        <f t="shared" si="13"/>
        <v>0.51907604464053991</v>
      </c>
      <c r="L46" s="539">
        <v>10</v>
      </c>
      <c r="M46" s="538">
        <f t="shared" si="18"/>
        <v>10</v>
      </c>
      <c r="N46" s="536">
        <v>0</v>
      </c>
      <c r="O46" s="536">
        <f t="shared" si="14"/>
        <v>0</v>
      </c>
      <c r="P46" s="537">
        <v>0</v>
      </c>
      <c r="Q46" s="537">
        <v>0</v>
      </c>
      <c r="R46" s="536">
        <f t="shared" si="20"/>
        <v>0</v>
      </c>
      <c r="S46" s="536">
        <f t="shared" si="21"/>
        <v>0</v>
      </c>
      <c r="T46" s="537">
        <v>0</v>
      </c>
      <c r="U46" s="536">
        <f t="shared" si="15"/>
        <v>0</v>
      </c>
      <c r="V46" s="536">
        <f t="shared" si="3"/>
        <v>1</v>
      </c>
      <c r="W46" s="536">
        <f t="shared" si="16"/>
        <v>0.51907604464053991</v>
      </c>
      <c r="X46" s="537">
        <f t="shared" si="10"/>
        <v>10</v>
      </c>
      <c r="Y46" s="537">
        <v>0</v>
      </c>
      <c r="Z46" s="536">
        <f t="shared" si="5"/>
        <v>0</v>
      </c>
      <c r="AA46" s="536">
        <f t="shared" si="17"/>
        <v>0</v>
      </c>
      <c r="AB46" s="537">
        <v>0</v>
      </c>
      <c r="AC46" s="536">
        <f t="shared" si="6"/>
        <v>0</v>
      </c>
      <c r="AD46" s="497"/>
      <c r="AE46" s="500"/>
      <c r="AF46" s="497"/>
      <c r="AG46" s="497"/>
      <c r="AH46" s="497"/>
      <c r="AI46" s="498"/>
      <c r="AJ46" s="498"/>
      <c r="AK46" s="498"/>
      <c r="AL46" s="498"/>
      <c r="AM46" s="498"/>
      <c r="AN46" s="498"/>
      <c r="AO46" s="498"/>
      <c r="AP46" s="498"/>
      <c r="AQ46" s="498"/>
      <c r="AR46" s="497"/>
      <c r="AS46" s="497"/>
      <c r="AT46" s="499"/>
      <c r="AU46" s="525"/>
      <c r="AV46" s="525"/>
      <c r="AW46" s="420"/>
      <c r="AX46" s="420"/>
      <c r="AY46" s="420"/>
      <c r="AZ46" s="420"/>
      <c r="BA46" s="420"/>
      <c r="BB46" s="420"/>
      <c r="BC46" s="420"/>
      <c r="BD46" s="420"/>
    </row>
    <row r="47" spans="1:56" s="421" customFormat="1" ht="48">
      <c r="A47" s="501" t="s">
        <v>1258</v>
      </c>
      <c r="B47" s="503" t="s">
        <v>1259</v>
      </c>
      <c r="C47" s="553" t="s">
        <v>794</v>
      </c>
      <c r="D47" s="552"/>
      <c r="E47" s="552"/>
      <c r="F47" s="552"/>
      <c r="G47" s="552"/>
      <c r="H47" s="552"/>
      <c r="I47" s="552"/>
      <c r="J47" s="539">
        <v>1</v>
      </c>
      <c r="K47" s="536">
        <f t="shared" si="13"/>
        <v>0.51907604464053991</v>
      </c>
      <c r="L47" s="539">
        <v>10</v>
      </c>
      <c r="M47" s="538">
        <f t="shared" si="18"/>
        <v>10</v>
      </c>
      <c r="N47" s="536">
        <v>0</v>
      </c>
      <c r="O47" s="536">
        <f t="shared" si="14"/>
        <v>0</v>
      </c>
      <c r="P47" s="537">
        <v>0</v>
      </c>
      <c r="Q47" s="537">
        <v>0</v>
      </c>
      <c r="R47" s="536">
        <f t="shared" si="20"/>
        <v>0</v>
      </c>
      <c r="S47" s="536">
        <f t="shared" si="21"/>
        <v>0</v>
      </c>
      <c r="T47" s="537">
        <v>0</v>
      </c>
      <c r="U47" s="536">
        <f t="shared" si="15"/>
        <v>0</v>
      </c>
      <c r="V47" s="536">
        <f t="shared" si="3"/>
        <v>1</v>
      </c>
      <c r="W47" s="536">
        <f t="shared" si="16"/>
        <v>0.51907604464053991</v>
      </c>
      <c r="X47" s="537">
        <f t="shared" si="10"/>
        <v>10</v>
      </c>
      <c r="Y47" s="537">
        <v>0</v>
      </c>
      <c r="Z47" s="536">
        <f t="shared" si="5"/>
        <v>0</v>
      </c>
      <c r="AA47" s="536">
        <f t="shared" si="17"/>
        <v>0</v>
      </c>
      <c r="AB47" s="537">
        <v>0</v>
      </c>
      <c r="AC47" s="536">
        <f t="shared" si="6"/>
        <v>0</v>
      </c>
      <c r="AD47" s="497"/>
      <c r="AE47" s="500"/>
      <c r="AF47" s="497"/>
      <c r="AG47" s="497"/>
      <c r="AH47" s="497"/>
      <c r="AI47" s="498"/>
      <c r="AJ47" s="498"/>
      <c r="AK47" s="498"/>
      <c r="AL47" s="498"/>
      <c r="AM47" s="498"/>
      <c r="AN47" s="498"/>
      <c r="AO47" s="498"/>
      <c r="AP47" s="498"/>
      <c r="AQ47" s="498"/>
      <c r="AR47" s="497"/>
      <c r="AS47" s="497"/>
      <c r="AT47" s="499"/>
      <c r="AU47" s="525"/>
      <c r="AV47" s="525"/>
      <c r="AW47" s="420"/>
      <c r="AX47" s="420"/>
      <c r="AY47" s="420"/>
      <c r="AZ47" s="420"/>
      <c r="BA47" s="420"/>
      <c r="BB47" s="420"/>
      <c r="BC47" s="420"/>
      <c r="BD47" s="420"/>
    </row>
    <row r="48" spans="1:56" s="421" customFormat="1" ht="48">
      <c r="A48" s="501" t="s">
        <v>1260</v>
      </c>
      <c r="B48" s="503" t="s">
        <v>1261</v>
      </c>
      <c r="C48" s="553" t="s">
        <v>794</v>
      </c>
      <c r="D48" s="552"/>
      <c r="E48" s="552"/>
      <c r="F48" s="552"/>
      <c r="G48" s="552"/>
      <c r="H48" s="552"/>
      <c r="I48" s="552"/>
      <c r="J48" s="539">
        <v>1</v>
      </c>
      <c r="K48" s="536">
        <f t="shared" si="13"/>
        <v>0.51907604464053991</v>
      </c>
      <c r="L48" s="539">
        <v>10</v>
      </c>
      <c r="M48" s="538">
        <f t="shared" si="18"/>
        <v>10</v>
      </c>
      <c r="N48" s="536">
        <v>0</v>
      </c>
      <c r="O48" s="536">
        <f t="shared" si="14"/>
        <v>0</v>
      </c>
      <c r="P48" s="537">
        <v>0</v>
      </c>
      <c r="Q48" s="537">
        <v>0</v>
      </c>
      <c r="R48" s="536">
        <f t="shared" si="20"/>
        <v>0</v>
      </c>
      <c r="S48" s="536">
        <f t="shared" si="21"/>
        <v>0</v>
      </c>
      <c r="T48" s="537">
        <v>0</v>
      </c>
      <c r="U48" s="536">
        <f t="shared" si="15"/>
        <v>0</v>
      </c>
      <c r="V48" s="536">
        <f t="shared" si="3"/>
        <v>1</v>
      </c>
      <c r="W48" s="536">
        <f t="shared" si="16"/>
        <v>0.51907604464053991</v>
      </c>
      <c r="X48" s="537">
        <f t="shared" si="10"/>
        <v>10</v>
      </c>
      <c r="Y48" s="537">
        <v>0</v>
      </c>
      <c r="Z48" s="536">
        <f t="shared" si="5"/>
        <v>0</v>
      </c>
      <c r="AA48" s="536">
        <f t="shared" si="17"/>
        <v>0</v>
      </c>
      <c r="AB48" s="537">
        <v>0</v>
      </c>
      <c r="AC48" s="536">
        <f t="shared" si="6"/>
        <v>0</v>
      </c>
      <c r="AD48" s="497"/>
      <c r="AE48" s="500"/>
      <c r="AF48" s="497"/>
      <c r="AG48" s="497"/>
      <c r="AH48" s="497"/>
      <c r="AI48" s="498"/>
      <c r="AJ48" s="498"/>
      <c r="AK48" s="498"/>
      <c r="AL48" s="498"/>
      <c r="AM48" s="498"/>
      <c r="AN48" s="498"/>
      <c r="AO48" s="498"/>
      <c r="AP48" s="498"/>
      <c r="AQ48" s="498"/>
      <c r="AR48" s="497"/>
      <c r="AS48" s="497"/>
      <c r="AT48" s="499"/>
      <c r="AU48" s="525"/>
      <c r="AV48" s="525"/>
      <c r="AW48" s="420"/>
      <c r="AX48" s="420"/>
      <c r="AY48" s="420"/>
      <c r="AZ48" s="420"/>
      <c r="BA48" s="420"/>
      <c r="BB48" s="420"/>
      <c r="BC48" s="420"/>
      <c r="BD48" s="420"/>
    </row>
    <row r="49" spans="1:56" s="421" customFormat="1" ht="48">
      <c r="A49" s="501" t="s">
        <v>1262</v>
      </c>
      <c r="B49" s="503" t="s">
        <v>1263</v>
      </c>
      <c r="C49" s="553" t="s">
        <v>794</v>
      </c>
      <c r="D49" s="552"/>
      <c r="E49" s="552"/>
      <c r="F49" s="552"/>
      <c r="G49" s="552"/>
      <c r="H49" s="552"/>
      <c r="I49" s="552"/>
      <c r="J49" s="539">
        <v>1</v>
      </c>
      <c r="K49" s="536">
        <f t="shared" si="13"/>
        <v>0.51907604464053991</v>
      </c>
      <c r="L49" s="539">
        <v>10</v>
      </c>
      <c r="M49" s="538">
        <f t="shared" si="18"/>
        <v>10</v>
      </c>
      <c r="N49" s="536">
        <v>0</v>
      </c>
      <c r="O49" s="536">
        <f t="shared" si="14"/>
        <v>0</v>
      </c>
      <c r="P49" s="537">
        <v>0</v>
      </c>
      <c r="Q49" s="537">
        <v>0</v>
      </c>
      <c r="R49" s="536">
        <f t="shared" si="20"/>
        <v>0</v>
      </c>
      <c r="S49" s="536">
        <f t="shared" si="21"/>
        <v>0</v>
      </c>
      <c r="T49" s="537">
        <v>0</v>
      </c>
      <c r="U49" s="536">
        <f t="shared" si="15"/>
        <v>0</v>
      </c>
      <c r="V49" s="536">
        <f t="shared" si="3"/>
        <v>1</v>
      </c>
      <c r="W49" s="536">
        <f t="shared" si="16"/>
        <v>0.51907604464053991</v>
      </c>
      <c r="X49" s="537">
        <f t="shared" si="10"/>
        <v>10</v>
      </c>
      <c r="Y49" s="537">
        <v>0</v>
      </c>
      <c r="Z49" s="536">
        <f t="shared" si="5"/>
        <v>0</v>
      </c>
      <c r="AA49" s="536">
        <f t="shared" si="17"/>
        <v>0</v>
      </c>
      <c r="AB49" s="537">
        <v>0</v>
      </c>
      <c r="AC49" s="536">
        <f t="shared" si="6"/>
        <v>0</v>
      </c>
      <c r="AD49" s="497"/>
      <c r="AE49" s="500"/>
      <c r="AF49" s="497"/>
      <c r="AG49" s="497"/>
      <c r="AH49" s="497"/>
      <c r="AI49" s="498"/>
      <c r="AJ49" s="498"/>
      <c r="AK49" s="498"/>
      <c r="AL49" s="498"/>
      <c r="AM49" s="498"/>
      <c r="AN49" s="498"/>
      <c r="AO49" s="498"/>
      <c r="AP49" s="498"/>
      <c r="AQ49" s="498"/>
      <c r="AR49" s="497"/>
      <c r="AS49" s="497"/>
      <c r="AT49" s="499"/>
      <c r="AU49" s="525"/>
      <c r="AV49" s="525"/>
      <c r="AW49" s="420"/>
      <c r="AX49" s="420"/>
      <c r="AY49" s="420"/>
      <c r="AZ49" s="420"/>
      <c r="BA49" s="420"/>
      <c r="BB49" s="420"/>
      <c r="BC49" s="420"/>
      <c r="BD49" s="420"/>
    </row>
    <row r="50" spans="1:56" s="421" customFormat="1" ht="48">
      <c r="A50" s="501" t="s">
        <v>1264</v>
      </c>
      <c r="B50" s="503" t="s">
        <v>1299</v>
      </c>
      <c r="C50" s="553" t="s">
        <v>794</v>
      </c>
      <c r="D50" s="552"/>
      <c r="E50" s="552"/>
      <c r="F50" s="552"/>
      <c r="G50" s="552"/>
      <c r="H50" s="552"/>
      <c r="I50" s="552"/>
      <c r="J50" s="539">
        <v>1</v>
      </c>
      <c r="K50" s="536">
        <f t="shared" si="13"/>
        <v>0.51907604464053991</v>
      </c>
      <c r="L50" s="539">
        <v>10</v>
      </c>
      <c r="M50" s="538">
        <f t="shared" si="18"/>
        <v>10</v>
      </c>
      <c r="N50" s="536">
        <v>1</v>
      </c>
      <c r="O50" s="536">
        <f t="shared" si="14"/>
        <v>0.51907604464053991</v>
      </c>
      <c r="P50" s="537">
        <v>10</v>
      </c>
      <c r="Q50" s="537">
        <v>0</v>
      </c>
      <c r="R50" s="536">
        <f t="shared" si="20"/>
        <v>0</v>
      </c>
      <c r="S50" s="536">
        <f t="shared" si="21"/>
        <v>0</v>
      </c>
      <c r="T50" s="537">
        <v>0</v>
      </c>
      <c r="U50" s="536">
        <f t="shared" si="15"/>
        <v>0</v>
      </c>
      <c r="V50" s="536">
        <f t="shared" si="3"/>
        <v>1</v>
      </c>
      <c r="W50" s="536">
        <f t="shared" si="16"/>
        <v>0.51907604464053991</v>
      </c>
      <c r="X50" s="537">
        <f t="shared" si="10"/>
        <v>10</v>
      </c>
      <c r="Y50" s="537">
        <v>0</v>
      </c>
      <c r="Z50" s="536">
        <f t="shared" si="5"/>
        <v>0</v>
      </c>
      <c r="AA50" s="536">
        <f t="shared" si="17"/>
        <v>0</v>
      </c>
      <c r="AB50" s="537">
        <v>0</v>
      </c>
      <c r="AC50" s="536">
        <f t="shared" si="6"/>
        <v>0</v>
      </c>
      <c r="AD50" s="497"/>
      <c r="AE50" s="500"/>
      <c r="AF50" s="497"/>
      <c r="AG50" s="497"/>
      <c r="AH50" s="497"/>
      <c r="AI50" s="498"/>
      <c r="AJ50" s="498"/>
      <c r="AK50" s="498"/>
      <c r="AL50" s="498"/>
      <c r="AM50" s="498"/>
      <c r="AN50" s="498"/>
      <c r="AO50" s="498"/>
      <c r="AP50" s="498"/>
      <c r="AQ50" s="498"/>
      <c r="AR50" s="497"/>
      <c r="AS50" s="497"/>
      <c r="AT50" s="499"/>
      <c r="AU50" s="525"/>
      <c r="AV50" s="525"/>
      <c r="AW50" s="420"/>
      <c r="AX50" s="420"/>
      <c r="AY50" s="420"/>
      <c r="AZ50" s="420"/>
      <c r="BA50" s="420"/>
      <c r="BB50" s="420"/>
      <c r="BC50" s="420"/>
      <c r="BD50" s="420"/>
    </row>
    <row r="51" spans="1:56" s="421" customFormat="1" ht="48">
      <c r="A51" s="501" t="s">
        <v>1265</v>
      </c>
      <c r="B51" s="503" t="s">
        <v>1266</v>
      </c>
      <c r="C51" s="553" t="s">
        <v>794</v>
      </c>
      <c r="D51" s="552"/>
      <c r="E51" s="552"/>
      <c r="F51" s="552"/>
      <c r="G51" s="552"/>
      <c r="H51" s="552"/>
      <c r="I51" s="552"/>
      <c r="J51" s="539">
        <v>1</v>
      </c>
      <c r="K51" s="536">
        <f t="shared" si="13"/>
        <v>0.77861406696080981</v>
      </c>
      <c r="L51" s="539">
        <v>15</v>
      </c>
      <c r="M51" s="538">
        <f t="shared" si="18"/>
        <v>15</v>
      </c>
      <c r="N51" s="536">
        <v>0</v>
      </c>
      <c r="O51" s="536">
        <f t="shared" si="14"/>
        <v>0</v>
      </c>
      <c r="P51" s="537">
        <v>0</v>
      </c>
      <c r="Q51" s="537">
        <v>0</v>
      </c>
      <c r="R51" s="536">
        <f t="shared" si="20"/>
        <v>0</v>
      </c>
      <c r="S51" s="536">
        <f t="shared" si="21"/>
        <v>0</v>
      </c>
      <c r="T51" s="537">
        <v>0</v>
      </c>
      <c r="U51" s="536">
        <f t="shared" si="15"/>
        <v>0</v>
      </c>
      <c r="V51" s="536">
        <f t="shared" si="3"/>
        <v>1</v>
      </c>
      <c r="W51" s="536">
        <f t="shared" si="16"/>
        <v>0.77861406696080981</v>
      </c>
      <c r="X51" s="537">
        <f t="shared" si="10"/>
        <v>15</v>
      </c>
      <c r="Y51" s="537">
        <v>0</v>
      </c>
      <c r="Z51" s="536">
        <f t="shared" si="5"/>
        <v>0</v>
      </c>
      <c r="AA51" s="536">
        <f t="shared" si="17"/>
        <v>0</v>
      </c>
      <c r="AB51" s="537">
        <v>0</v>
      </c>
      <c r="AC51" s="536">
        <f t="shared" si="6"/>
        <v>0</v>
      </c>
      <c r="AD51" s="497"/>
      <c r="AE51" s="500"/>
      <c r="AF51" s="497"/>
      <c r="AG51" s="497"/>
      <c r="AH51" s="497"/>
      <c r="AI51" s="498"/>
      <c r="AJ51" s="498"/>
      <c r="AK51" s="498"/>
      <c r="AL51" s="498"/>
      <c r="AM51" s="498"/>
      <c r="AN51" s="498"/>
      <c r="AO51" s="498"/>
      <c r="AP51" s="498"/>
      <c r="AQ51" s="498"/>
      <c r="AR51" s="497"/>
      <c r="AS51" s="497"/>
      <c r="AT51" s="499"/>
      <c r="AU51" s="525"/>
      <c r="AV51" s="525"/>
      <c r="AW51" s="420"/>
      <c r="AX51" s="420"/>
      <c r="AY51" s="420"/>
      <c r="AZ51" s="420"/>
      <c r="BA51" s="420"/>
      <c r="BB51" s="420"/>
      <c r="BC51" s="420"/>
      <c r="BD51" s="420"/>
    </row>
    <row r="52" spans="1:56" s="421" customFormat="1" ht="48">
      <c r="A52" s="501" t="s">
        <v>1267</v>
      </c>
      <c r="B52" s="503" t="s">
        <v>1268</v>
      </c>
      <c r="C52" s="553" t="s">
        <v>794</v>
      </c>
      <c r="D52" s="552"/>
      <c r="E52" s="552"/>
      <c r="F52" s="552"/>
      <c r="G52" s="552"/>
      <c r="H52" s="552"/>
      <c r="I52" s="552"/>
      <c r="J52" s="539">
        <v>1</v>
      </c>
      <c r="K52" s="536">
        <f t="shared" si="13"/>
        <v>0.51907604464053991</v>
      </c>
      <c r="L52" s="539">
        <v>10</v>
      </c>
      <c r="M52" s="538">
        <f t="shared" si="18"/>
        <v>10</v>
      </c>
      <c r="N52" s="536">
        <v>0</v>
      </c>
      <c r="O52" s="536">
        <f t="shared" si="14"/>
        <v>0</v>
      </c>
      <c r="P52" s="537">
        <v>0</v>
      </c>
      <c r="Q52" s="537">
        <v>0</v>
      </c>
      <c r="R52" s="536">
        <f t="shared" si="20"/>
        <v>0</v>
      </c>
      <c r="S52" s="536">
        <f t="shared" si="21"/>
        <v>0</v>
      </c>
      <c r="T52" s="537">
        <v>0</v>
      </c>
      <c r="U52" s="536">
        <f t="shared" si="15"/>
        <v>0</v>
      </c>
      <c r="V52" s="536">
        <f t="shared" si="3"/>
        <v>1</v>
      </c>
      <c r="W52" s="536">
        <f t="shared" si="16"/>
        <v>0.51907604464053991</v>
      </c>
      <c r="X52" s="537">
        <f t="shared" si="10"/>
        <v>10</v>
      </c>
      <c r="Y52" s="537">
        <v>0</v>
      </c>
      <c r="Z52" s="536">
        <f t="shared" si="5"/>
        <v>0</v>
      </c>
      <c r="AA52" s="536">
        <f t="shared" si="17"/>
        <v>0</v>
      </c>
      <c r="AB52" s="537">
        <v>0</v>
      </c>
      <c r="AC52" s="536">
        <f t="shared" si="6"/>
        <v>0</v>
      </c>
      <c r="AD52" s="497"/>
      <c r="AE52" s="500"/>
      <c r="AF52" s="497"/>
      <c r="AG52" s="497"/>
      <c r="AH52" s="497"/>
      <c r="AI52" s="498"/>
      <c r="AJ52" s="498"/>
      <c r="AK52" s="498"/>
      <c r="AL52" s="498"/>
      <c r="AM52" s="498"/>
      <c r="AN52" s="498"/>
      <c r="AO52" s="498"/>
      <c r="AP52" s="498"/>
      <c r="AQ52" s="498"/>
      <c r="AR52" s="497"/>
      <c r="AS52" s="497"/>
      <c r="AT52" s="499"/>
      <c r="AU52" s="525"/>
      <c r="AV52" s="525"/>
      <c r="AW52" s="420"/>
      <c r="AX52" s="420"/>
      <c r="AY52" s="420"/>
      <c r="AZ52" s="420"/>
      <c r="BA52" s="420"/>
      <c r="BB52" s="420"/>
      <c r="BC52" s="420"/>
      <c r="BD52" s="420"/>
    </row>
    <row r="53" spans="1:56" s="421" customFormat="1" ht="48">
      <c r="A53" s="501" t="s">
        <v>1269</v>
      </c>
      <c r="B53" s="503" t="s">
        <v>1270</v>
      </c>
      <c r="C53" s="553" t="s">
        <v>794</v>
      </c>
      <c r="D53" s="552"/>
      <c r="E53" s="552"/>
      <c r="F53" s="552"/>
      <c r="G53" s="552"/>
      <c r="H53" s="552"/>
      <c r="I53" s="552"/>
      <c r="J53" s="539">
        <v>1</v>
      </c>
      <c r="K53" s="536">
        <f t="shared" si="13"/>
        <v>0.51907604464053991</v>
      </c>
      <c r="L53" s="539">
        <v>10</v>
      </c>
      <c r="M53" s="538">
        <f t="shared" si="18"/>
        <v>10</v>
      </c>
      <c r="N53" s="536">
        <v>0</v>
      </c>
      <c r="O53" s="536">
        <f t="shared" si="14"/>
        <v>0</v>
      </c>
      <c r="P53" s="537">
        <v>0</v>
      </c>
      <c r="Q53" s="537">
        <v>0</v>
      </c>
      <c r="R53" s="536">
        <f t="shared" si="20"/>
        <v>0</v>
      </c>
      <c r="S53" s="536">
        <f t="shared" si="21"/>
        <v>0</v>
      </c>
      <c r="T53" s="537">
        <v>0</v>
      </c>
      <c r="U53" s="536">
        <f t="shared" si="15"/>
        <v>0</v>
      </c>
      <c r="V53" s="536">
        <f t="shared" si="3"/>
        <v>1</v>
      </c>
      <c r="W53" s="536">
        <f t="shared" si="16"/>
        <v>0.51907604464053991</v>
      </c>
      <c r="X53" s="537">
        <f t="shared" si="10"/>
        <v>10</v>
      </c>
      <c r="Y53" s="537">
        <v>0</v>
      </c>
      <c r="Z53" s="536">
        <f t="shared" si="5"/>
        <v>0</v>
      </c>
      <c r="AA53" s="536">
        <f t="shared" si="17"/>
        <v>0</v>
      </c>
      <c r="AB53" s="537">
        <v>0</v>
      </c>
      <c r="AC53" s="536">
        <f t="shared" si="6"/>
        <v>0</v>
      </c>
      <c r="AD53" s="497"/>
      <c r="AE53" s="500"/>
      <c r="AF53" s="497"/>
      <c r="AG53" s="497"/>
      <c r="AH53" s="497"/>
      <c r="AI53" s="498"/>
      <c r="AJ53" s="498"/>
      <c r="AK53" s="498"/>
      <c r="AL53" s="498"/>
      <c r="AM53" s="498"/>
      <c r="AN53" s="498"/>
      <c r="AO53" s="498"/>
      <c r="AP53" s="498"/>
      <c r="AQ53" s="498"/>
      <c r="AR53" s="497"/>
      <c r="AS53" s="497"/>
      <c r="AT53" s="499"/>
      <c r="AU53" s="525"/>
      <c r="AV53" s="525"/>
      <c r="AW53" s="420"/>
      <c r="AX53" s="420"/>
      <c r="AY53" s="420"/>
      <c r="AZ53" s="420"/>
      <c r="BA53" s="420"/>
      <c r="BB53" s="420"/>
      <c r="BC53" s="420"/>
      <c r="BD53" s="420"/>
    </row>
    <row r="54" spans="1:56" s="421" customFormat="1" ht="48">
      <c r="A54" s="501" t="s">
        <v>1271</v>
      </c>
      <c r="B54" s="503" t="s">
        <v>1272</v>
      </c>
      <c r="C54" s="553" t="s">
        <v>794</v>
      </c>
      <c r="D54" s="552"/>
      <c r="E54" s="552"/>
      <c r="F54" s="552"/>
      <c r="G54" s="552"/>
      <c r="H54" s="552"/>
      <c r="I54" s="552"/>
      <c r="J54" s="539">
        <v>1</v>
      </c>
      <c r="K54" s="536">
        <f t="shared" si="13"/>
        <v>0.51907604464053991</v>
      </c>
      <c r="L54" s="539">
        <v>10</v>
      </c>
      <c r="M54" s="538">
        <f t="shared" si="18"/>
        <v>10</v>
      </c>
      <c r="N54" s="536">
        <v>0</v>
      </c>
      <c r="O54" s="536">
        <f t="shared" si="14"/>
        <v>0</v>
      </c>
      <c r="P54" s="537">
        <v>0</v>
      </c>
      <c r="Q54" s="537">
        <v>0</v>
      </c>
      <c r="R54" s="536">
        <f t="shared" si="20"/>
        <v>0</v>
      </c>
      <c r="S54" s="536">
        <f t="shared" si="21"/>
        <v>0</v>
      </c>
      <c r="T54" s="537">
        <v>0</v>
      </c>
      <c r="U54" s="536">
        <f t="shared" si="15"/>
        <v>0</v>
      </c>
      <c r="V54" s="536">
        <f t="shared" si="3"/>
        <v>1</v>
      </c>
      <c r="W54" s="536">
        <f t="shared" si="16"/>
        <v>0.51907604464053991</v>
      </c>
      <c r="X54" s="537">
        <f t="shared" si="10"/>
        <v>10</v>
      </c>
      <c r="Y54" s="537">
        <v>0</v>
      </c>
      <c r="Z54" s="536">
        <f t="shared" si="5"/>
        <v>0</v>
      </c>
      <c r="AA54" s="536">
        <f t="shared" si="17"/>
        <v>0</v>
      </c>
      <c r="AB54" s="537">
        <v>0</v>
      </c>
      <c r="AC54" s="536">
        <f t="shared" si="6"/>
        <v>0</v>
      </c>
      <c r="AD54" s="497"/>
      <c r="AE54" s="500"/>
      <c r="AF54" s="497"/>
      <c r="AG54" s="497"/>
      <c r="AH54" s="497"/>
      <c r="AI54" s="498"/>
      <c r="AJ54" s="498"/>
      <c r="AK54" s="498"/>
      <c r="AL54" s="498"/>
      <c r="AM54" s="498"/>
      <c r="AN54" s="498"/>
      <c r="AO54" s="498"/>
      <c r="AP54" s="498"/>
      <c r="AQ54" s="498"/>
      <c r="AR54" s="497"/>
      <c r="AS54" s="497"/>
      <c r="AT54" s="499"/>
      <c r="AU54" s="525"/>
      <c r="AV54" s="525"/>
      <c r="AW54" s="420"/>
      <c r="AX54" s="420"/>
      <c r="AY54" s="420"/>
      <c r="AZ54" s="420"/>
      <c r="BA54" s="420"/>
      <c r="BB54" s="420"/>
      <c r="BC54" s="420"/>
      <c r="BD54" s="420"/>
    </row>
    <row r="55" spans="1:56" s="421" customFormat="1" ht="96">
      <c r="A55" s="501" t="s">
        <v>1273</v>
      </c>
      <c r="B55" s="503" t="s">
        <v>1274</v>
      </c>
      <c r="C55" s="553" t="s">
        <v>794</v>
      </c>
      <c r="D55" s="552"/>
      <c r="E55" s="552"/>
      <c r="F55" s="552"/>
      <c r="G55" s="552"/>
      <c r="H55" s="552"/>
      <c r="I55" s="552"/>
      <c r="J55" s="539">
        <v>1</v>
      </c>
      <c r="K55" s="536">
        <f t="shared" si="13"/>
        <v>0.77861406696080981</v>
      </c>
      <c r="L55" s="539">
        <v>15</v>
      </c>
      <c r="M55" s="538">
        <f t="shared" si="18"/>
        <v>15</v>
      </c>
      <c r="N55" s="536">
        <v>0</v>
      </c>
      <c r="O55" s="536">
        <f t="shared" si="14"/>
        <v>0</v>
      </c>
      <c r="P55" s="537">
        <v>0</v>
      </c>
      <c r="Q55" s="537">
        <v>0</v>
      </c>
      <c r="R55" s="536">
        <f t="shared" si="20"/>
        <v>0</v>
      </c>
      <c r="S55" s="536">
        <f t="shared" si="21"/>
        <v>0</v>
      </c>
      <c r="T55" s="537">
        <v>0</v>
      </c>
      <c r="U55" s="536">
        <f t="shared" si="15"/>
        <v>0</v>
      </c>
      <c r="V55" s="536">
        <f t="shared" si="3"/>
        <v>1</v>
      </c>
      <c r="W55" s="536">
        <f t="shared" si="16"/>
        <v>0.77861406696080981</v>
      </c>
      <c r="X55" s="537">
        <f t="shared" si="10"/>
        <v>15</v>
      </c>
      <c r="Y55" s="537">
        <v>0</v>
      </c>
      <c r="Z55" s="536">
        <f t="shared" si="5"/>
        <v>0</v>
      </c>
      <c r="AA55" s="536">
        <f t="shared" si="17"/>
        <v>0</v>
      </c>
      <c r="AB55" s="537">
        <v>0</v>
      </c>
      <c r="AC55" s="536">
        <f t="shared" si="6"/>
        <v>0</v>
      </c>
      <c r="AD55" s="497"/>
      <c r="AE55" s="500"/>
      <c r="AF55" s="497"/>
      <c r="AG55" s="497"/>
      <c r="AH55" s="497"/>
      <c r="AI55" s="498"/>
      <c r="AJ55" s="498"/>
      <c r="AK55" s="498"/>
      <c r="AL55" s="498"/>
      <c r="AM55" s="498"/>
      <c r="AN55" s="498"/>
      <c r="AO55" s="498"/>
      <c r="AP55" s="498"/>
      <c r="AQ55" s="498"/>
      <c r="AR55" s="497"/>
      <c r="AS55" s="497"/>
      <c r="AT55" s="499"/>
      <c r="AU55" s="525"/>
      <c r="AV55" s="525"/>
      <c r="AW55" s="420"/>
      <c r="AX55" s="420"/>
      <c r="AY55" s="420"/>
      <c r="AZ55" s="420"/>
      <c r="BA55" s="420"/>
      <c r="BB55" s="420"/>
      <c r="BC55" s="420"/>
      <c r="BD55" s="420"/>
    </row>
    <row r="56" spans="1:56" s="421" customFormat="1" ht="48">
      <c r="A56" s="501" t="s">
        <v>1275</v>
      </c>
      <c r="B56" s="503" t="s">
        <v>1276</v>
      </c>
      <c r="C56" s="553" t="s">
        <v>794</v>
      </c>
      <c r="D56" s="552"/>
      <c r="E56" s="552"/>
      <c r="F56" s="552"/>
      <c r="G56" s="552"/>
      <c r="H56" s="552"/>
      <c r="I56" s="552"/>
      <c r="J56" s="539">
        <v>1</v>
      </c>
      <c r="K56" s="536">
        <f t="shared" si="13"/>
        <v>0.51907604464053991</v>
      </c>
      <c r="L56" s="539">
        <v>10</v>
      </c>
      <c r="M56" s="538">
        <f t="shared" si="18"/>
        <v>10</v>
      </c>
      <c r="N56" s="536">
        <v>0</v>
      </c>
      <c r="O56" s="536">
        <f t="shared" si="14"/>
        <v>0</v>
      </c>
      <c r="P56" s="537">
        <v>0</v>
      </c>
      <c r="Q56" s="537">
        <v>0</v>
      </c>
      <c r="R56" s="536">
        <f t="shared" si="20"/>
        <v>0</v>
      </c>
      <c r="S56" s="536">
        <f t="shared" si="21"/>
        <v>0</v>
      </c>
      <c r="T56" s="537">
        <v>0</v>
      </c>
      <c r="U56" s="536">
        <f t="shared" si="15"/>
        <v>0</v>
      </c>
      <c r="V56" s="536">
        <f t="shared" si="3"/>
        <v>1</v>
      </c>
      <c r="W56" s="536">
        <f t="shared" si="16"/>
        <v>0.51907604464053991</v>
      </c>
      <c r="X56" s="537">
        <f t="shared" si="10"/>
        <v>10</v>
      </c>
      <c r="Y56" s="537">
        <v>0</v>
      </c>
      <c r="Z56" s="536">
        <f t="shared" si="5"/>
        <v>0</v>
      </c>
      <c r="AA56" s="536">
        <f t="shared" si="17"/>
        <v>0</v>
      </c>
      <c r="AB56" s="537">
        <v>0</v>
      </c>
      <c r="AC56" s="536">
        <f t="shared" si="6"/>
        <v>0</v>
      </c>
      <c r="AD56" s="497"/>
      <c r="AE56" s="500"/>
      <c r="AF56" s="497"/>
      <c r="AG56" s="497"/>
      <c r="AH56" s="497"/>
      <c r="AI56" s="498"/>
      <c r="AJ56" s="498"/>
      <c r="AK56" s="498"/>
      <c r="AL56" s="498"/>
      <c r="AM56" s="498"/>
      <c r="AN56" s="498"/>
      <c r="AO56" s="498"/>
      <c r="AP56" s="498"/>
      <c r="AQ56" s="498"/>
      <c r="AR56" s="497"/>
      <c r="AS56" s="497"/>
      <c r="AT56" s="499"/>
      <c r="AU56" s="525"/>
      <c r="AV56" s="525"/>
      <c r="AW56" s="420"/>
      <c r="AX56" s="420"/>
      <c r="AY56" s="420"/>
      <c r="AZ56" s="420"/>
      <c r="BA56" s="420"/>
      <c r="BB56" s="420"/>
      <c r="BC56" s="420"/>
      <c r="BD56" s="420"/>
    </row>
    <row r="57" spans="1:56" s="421" customFormat="1" ht="48">
      <c r="A57" s="501" t="s">
        <v>1277</v>
      </c>
      <c r="B57" s="503" t="s">
        <v>1278</v>
      </c>
      <c r="C57" s="553" t="s">
        <v>794</v>
      </c>
      <c r="D57" s="552"/>
      <c r="E57" s="552"/>
      <c r="F57" s="552"/>
      <c r="G57" s="552"/>
      <c r="H57" s="552"/>
      <c r="I57" s="552"/>
      <c r="J57" s="539">
        <v>1</v>
      </c>
      <c r="K57" s="536">
        <f t="shared" si="13"/>
        <v>0.77861406696080981</v>
      </c>
      <c r="L57" s="539">
        <v>15</v>
      </c>
      <c r="M57" s="538">
        <f t="shared" si="18"/>
        <v>15</v>
      </c>
      <c r="N57" s="536">
        <v>0</v>
      </c>
      <c r="O57" s="536">
        <f t="shared" si="14"/>
        <v>0</v>
      </c>
      <c r="P57" s="537">
        <v>0</v>
      </c>
      <c r="Q57" s="537">
        <v>0</v>
      </c>
      <c r="R57" s="536">
        <f t="shared" si="20"/>
        <v>0</v>
      </c>
      <c r="S57" s="536">
        <f t="shared" si="21"/>
        <v>0</v>
      </c>
      <c r="T57" s="537">
        <v>0</v>
      </c>
      <c r="U57" s="536">
        <f t="shared" si="15"/>
        <v>0</v>
      </c>
      <c r="V57" s="536">
        <f t="shared" si="3"/>
        <v>1</v>
      </c>
      <c r="W57" s="536">
        <f t="shared" si="16"/>
        <v>0.77861406696080981</v>
      </c>
      <c r="X57" s="537">
        <f t="shared" si="10"/>
        <v>15</v>
      </c>
      <c r="Y57" s="537">
        <v>0</v>
      </c>
      <c r="Z57" s="536">
        <f t="shared" si="5"/>
        <v>0</v>
      </c>
      <c r="AA57" s="536">
        <f t="shared" si="17"/>
        <v>0</v>
      </c>
      <c r="AB57" s="537">
        <v>0</v>
      </c>
      <c r="AC57" s="536">
        <f t="shared" si="6"/>
        <v>0</v>
      </c>
      <c r="AD57" s="497"/>
      <c r="AE57" s="500"/>
      <c r="AF57" s="497"/>
      <c r="AG57" s="497"/>
      <c r="AH57" s="497"/>
      <c r="AI57" s="498"/>
      <c r="AJ57" s="498"/>
      <c r="AK57" s="498"/>
      <c r="AL57" s="498"/>
      <c r="AM57" s="498"/>
      <c r="AN57" s="498"/>
      <c r="AO57" s="498"/>
      <c r="AP57" s="498"/>
      <c r="AQ57" s="498"/>
      <c r="AR57" s="497"/>
      <c r="AS57" s="497"/>
      <c r="AT57" s="499"/>
      <c r="AU57" s="525"/>
      <c r="AV57" s="525"/>
      <c r="AW57" s="420"/>
      <c r="AX57" s="420"/>
      <c r="AY57" s="420"/>
      <c r="AZ57" s="420"/>
      <c r="BA57" s="420"/>
      <c r="BB57" s="420"/>
      <c r="BC57" s="420"/>
      <c r="BD57" s="420"/>
    </row>
    <row r="58" spans="1:56" s="421" customFormat="1" ht="48">
      <c r="A58" s="501" t="s">
        <v>1279</v>
      </c>
      <c r="B58" s="503" t="s">
        <v>1291</v>
      </c>
      <c r="C58" s="553" t="s">
        <v>794</v>
      </c>
      <c r="D58" s="552"/>
      <c r="E58" s="552"/>
      <c r="F58" s="552"/>
      <c r="G58" s="552"/>
      <c r="H58" s="552"/>
      <c r="I58" s="552"/>
      <c r="J58" s="539">
        <v>1</v>
      </c>
      <c r="K58" s="536">
        <f t="shared" si="13"/>
        <v>0.77861406696080981</v>
      </c>
      <c r="L58" s="539">
        <v>15</v>
      </c>
      <c r="M58" s="538">
        <f t="shared" si="18"/>
        <v>15</v>
      </c>
      <c r="N58" s="536">
        <v>0</v>
      </c>
      <c r="O58" s="536">
        <f t="shared" si="14"/>
        <v>0</v>
      </c>
      <c r="P58" s="537">
        <v>0</v>
      </c>
      <c r="Q58" s="537">
        <v>0</v>
      </c>
      <c r="R58" s="536">
        <f t="shared" si="20"/>
        <v>0</v>
      </c>
      <c r="S58" s="536">
        <f t="shared" si="21"/>
        <v>0</v>
      </c>
      <c r="T58" s="537">
        <v>0</v>
      </c>
      <c r="U58" s="536">
        <f t="shared" si="15"/>
        <v>0</v>
      </c>
      <c r="V58" s="536">
        <f t="shared" si="3"/>
        <v>1</v>
      </c>
      <c r="W58" s="536">
        <f t="shared" si="16"/>
        <v>0.77861406696080981</v>
      </c>
      <c r="X58" s="537">
        <f t="shared" si="10"/>
        <v>15</v>
      </c>
      <c r="Y58" s="537">
        <v>0</v>
      </c>
      <c r="Z58" s="536">
        <f t="shared" si="5"/>
        <v>0</v>
      </c>
      <c r="AA58" s="536">
        <f t="shared" si="17"/>
        <v>0</v>
      </c>
      <c r="AB58" s="537">
        <v>0</v>
      </c>
      <c r="AC58" s="536">
        <f t="shared" si="6"/>
        <v>0</v>
      </c>
      <c r="AD58" s="497"/>
      <c r="AE58" s="500"/>
      <c r="AF58" s="497"/>
      <c r="AG58" s="497"/>
      <c r="AH58" s="497"/>
      <c r="AI58" s="498"/>
      <c r="AJ58" s="498"/>
      <c r="AK58" s="498"/>
      <c r="AL58" s="498"/>
      <c r="AM58" s="498"/>
      <c r="AN58" s="498"/>
      <c r="AO58" s="498"/>
      <c r="AP58" s="498"/>
      <c r="AQ58" s="498"/>
      <c r="AR58" s="497"/>
      <c r="AS58" s="497"/>
      <c r="AT58" s="499"/>
      <c r="AU58" s="525"/>
      <c r="AV58" s="525"/>
      <c r="AW58" s="420"/>
      <c r="AX58" s="420"/>
      <c r="AY58" s="420"/>
      <c r="AZ58" s="420"/>
      <c r="BA58" s="420"/>
      <c r="BB58" s="420"/>
      <c r="BC58" s="420"/>
      <c r="BD58" s="420"/>
    </row>
    <row r="59" spans="1:56" s="421" customFormat="1" ht="48">
      <c r="A59" s="501" t="s">
        <v>1280</v>
      </c>
      <c r="B59" s="503" t="s">
        <v>1281</v>
      </c>
      <c r="C59" s="553" t="s">
        <v>794</v>
      </c>
      <c r="D59" s="552"/>
      <c r="E59" s="552"/>
      <c r="F59" s="552"/>
      <c r="G59" s="552"/>
      <c r="H59" s="552"/>
      <c r="I59" s="552"/>
      <c r="J59" s="539">
        <v>1</v>
      </c>
      <c r="K59" s="536">
        <f t="shared" si="13"/>
        <v>0.77861406696080981</v>
      </c>
      <c r="L59" s="539">
        <v>15</v>
      </c>
      <c r="M59" s="538">
        <f t="shared" si="18"/>
        <v>15</v>
      </c>
      <c r="N59" s="536">
        <v>0</v>
      </c>
      <c r="O59" s="536">
        <f t="shared" si="14"/>
        <v>0</v>
      </c>
      <c r="P59" s="537">
        <v>0</v>
      </c>
      <c r="Q59" s="537">
        <v>0</v>
      </c>
      <c r="R59" s="536">
        <f t="shared" si="20"/>
        <v>0</v>
      </c>
      <c r="S59" s="536">
        <f t="shared" si="21"/>
        <v>0</v>
      </c>
      <c r="T59" s="537">
        <v>0</v>
      </c>
      <c r="U59" s="536">
        <f t="shared" si="15"/>
        <v>0</v>
      </c>
      <c r="V59" s="536">
        <f t="shared" si="3"/>
        <v>1</v>
      </c>
      <c r="W59" s="536">
        <f t="shared" si="16"/>
        <v>0.77861406696080981</v>
      </c>
      <c r="X59" s="537">
        <f t="shared" si="10"/>
        <v>15</v>
      </c>
      <c r="Y59" s="537">
        <v>0</v>
      </c>
      <c r="Z59" s="536">
        <f t="shared" si="5"/>
        <v>0</v>
      </c>
      <c r="AA59" s="536">
        <f t="shared" si="17"/>
        <v>0</v>
      </c>
      <c r="AB59" s="537">
        <v>0</v>
      </c>
      <c r="AC59" s="536">
        <f t="shared" si="6"/>
        <v>0</v>
      </c>
      <c r="AD59" s="497"/>
      <c r="AE59" s="500"/>
      <c r="AF59" s="497"/>
      <c r="AG59" s="497"/>
      <c r="AH59" s="497"/>
      <c r="AI59" s="498"/>
      <c r="AJ59" s="498"/>
      <c r="AK59" s="498"/>
      <c r="AL59" s="498"/>
      <c r="AM59" s="498"/>
      <c r="AN59" s="498"/>
      <c r="AO59" s="498"/>
      <c r="AP59" s="498"/>
      <c r="AQ59" s="498"/>
      <c r="AR59" s="497"/>
      <c r="AS59" s="497"/>
      <c r="AT59" s="499"/>
      <c r="AU59" s="525"/>
      <c r="AV59" s="525"/>
      <c r="AW59" s="420"/>
      <c r="AX59" s="420"/>
      <c r="AY59" s="420"/>
      <c r="AZ59" s="420"/>
      <c r="BA59" s="420"/>
      <c r="BB59" s="420"/>
      <c r="BC59" s="420"/>
      <c r="BD59" s="420"/>
    </row>
    <row r="60" spans="1:56" s="421" customFormat="1" ht="48">
      <c r="A60" s="501" t="s">
        <v>1282</v>
      </c>
      <c r="B60" s="503" t="s">
        <v>1283</v>
      </c>
      <c r="C60" s="553" t="s">
        <v>794</v>
      </c>
      <c r="D60" s="552"/>
      <c r="E60" s="552"/>
      <c r="F60" s="552"/>
      <c r="G60" s="552"/>
      <c r="H60" s="552"/>
      <c r="I60" s="552"/>
      <c r="J60" s="539">
        <v>1</v>
      </c>
      <c r="K60" s="536">
        <f t="shared" si="13"/>
        <v>1.0381520892810798</v>
      </c>
      <c r="L60" s="539">
        <v>20</v>
      </c>
      <c r="M60" s="538">
        <f t="shared" si="18"/>
        <v>20</v>
      </c>
      <c r="N60" s="536">
        <v>0</v>
      </c>
      <c r="O60" s="536">
        <f t="shared" si="14"/>
        <v>0</v>
      </c>
      <c r="P60" s="537">
        <v>0</v>
      </c>
      <c r="Q60" s="537">
        <v>0</v>
      </c>
      <c r="R60" s="536">
        <f t="shared" si="20"/>
        <v>0</v>
      </c>
      <c r="S60" s="536">
        <f t="shared" si="21"/>
        <v>0</v>
      </c>
      <c r="T60" s="537">
        <v>0</v>
      </c>
      <c r="U60" s="536">
        <f t="shared" si="15"/>
        <v>0</v>
      </c>
      <c r="V60" s="536">
        <f t="shared" si="3"/>
        <v>1</v>
      </c>
      <c r="W60" s="536">
        <f t="shared" si="16"/>
        <v>1.0381520892810798</v>
      </c>
      <c r="X60" s="537">
        <f t="shared" si="10"/>
        <v>20</v>
      </c>
      <c r="Y60" s="537">
        <v>0</v>
      </c>
      <c r="Z60" s="536">
        <f t="shared" si="5"/>
        <v>0</v>
      </c>
      <c r="AA60" s="536">
        <f t="shared" si="17"/>
        <v>0</v>
      </c>
      <c r="AB60" s="537">
        <v>0</v>
      </c>
      <c r="AC60" s="536">
        <f t="shared" si="6"/>
        <v>0</v>
      </c>
      <c r="AD60" s="497"/>
      <c r="AE60" s="500"/>
      <c r="AF60" s="497"/>
      <c r="AG60" s="497"/>
      <c r="AH60" s="497"/>
      <c r="AI60" s="498"/>
      <c r="AJ60" s="498"/>
      <c r="AK60" s="498"/>
      <c r="AL60" s="498"/>
      <c r="AM60" s="498"/>
      <c r="AN60" s="498"/>
      <c r="AO60" s="498"/>
      <c r="AP60" s="498"/>
      <c r="AQ60" s="498"/>
      <c r="AR60" s="497"/>
      <c r="AS60" s="497"/>
      <c r="AT60" s="499"/>
      <c r="AU60" s="525"/>
      <c r="AV60" s="525"/>
      <c r="AW60" s="420"/>
      <c r="AX60" s="420"/>
      <c r="AY60" s="420"/>
      <c r="AZ60" s="420"/>
      <c r="BA60" s="420"/>
      <c r="BB60" s="420"/>
      <c r="BC60" s="420"/>
      <c r="BD60" s="420"/>
    </row>
    <row r="61" spans="1:56" s="421" customFormat="1" ht="48">
      <c r="A61" s="501" t="s">
        <v>1284</v>
      </c>
      <c r="B61" s="503" t="s">
        <v>1285</v>
      </c>
      <c r="C61" s="553" t="s">
        <v>794</v>
      </c>
      <c r="D61" s="552"/>
      <c r="E61" s="552"/>
      <c r="F61" s="552"/>
      <c r="G61" s="552"/>
      <c r="H61" s="552"/>
      <c r="I61" s="552"/>
      <c r="J61" s="539">
        <v>1</v>
      </c>
      <c r="K61" s="536">
        <f t="shared" si="13"/>
        <v>0.51907604464053991</v>
      </c>
      <c r="L61" s="539">
        <v>10</v>
      </c>
      <c r="M61" s="538">
        <f t="shared" si="18"/>
        <v>10</v>
      </c>
      <c r="N61" s="536">
        <v>0</v>
      </c>
      <c r="O61" s="536">
        <f t="shared" si="14"/>
        <v>0</v>
      </c>
      <c r="P61" s="537">
        <v>0</v>
      </c>
      <c r="Q61" s="537">
        <v>0</v>
      </c>
      <c r="R61" s="536">
        <f t="shared" si="20"/>
        <v>0</v>
      </c>
      <c r="S61" s="536">
        <f t="shared" si="21"/>
        <v>0</v>
      </c>
      <c r="T61" s="537">
        <v>0</v>
      </c>
      <c r="U61" s="536">
        <f t="shared" si="15"/>
        <v>0</v>
      </c>
      <c r="V61" s="536">
        <f t="shared" si="3"/>
        <v>1</v>
      </c>
      <c r="W61" s="536">
        <f t="shared" si="16"/>
        <v>0.51907604464053991</v>
      </c>
      <c r="X61" s="537">
        <f t="shared" si="10"/>
        <v>10</v>
      </c>
      <c r="Y61" s="537">
        <v>0</v>
      </c>
      <c r="Z61" s="536">
        <f t="shared" si="5"/>
        <v>0</v>
      </c>
      <c r="AA61" s="536">
        <f t="shared" si="17"/>
        <v>0</v>
      </c>
      <c r="AB61" s="537">
        <v>0</v>
      </c>
      <c r="AC61" s="536">
        <f t="shared" si="6"/>
        <v>0</v>
      </c>
      <c r="AD61" s="497"/>
      <c r="AE61" s="500"/>
      <c r="AF61" s="497"/>
      <c r="AG61" s="497"/>
      <c r="AH61" s="497"/>
      <c r="AI61" s="498"/>
      <c r="AJ61" s="498"/>
      <c r="AK61" s="498"/>
      <c r="AL61" s="498"/>
      <c r="AM61" s="498"/>
      <c r="AN61" s="498"/>
      <c r="AO61" s="498"/>
      <c r="AP61" s="498"/>
      <c r="AQ61" s="498"/>
      <c r="AR61" s="497"/>
      <c r="AS61" s="497"/>
      <c r="AT61" s="499"/>
      <c r="AU61" s="525"/>
      <c r="AV61" s="525"/>
      <c r="AW61" s="420"/>
      <c r="AX61" s="420"/>
      <c r="AY61" s="420"/>
      <c r="AZ61" s="420"/>
      <c r="BA61" s="420"/>
      <c r="BB61" s="420"/>
      <c r="BC61" s="420"/>
      <c r="BD61" s="420"/>
    </row>
    <row r="62" spans="1:56" s="421" customFormat="1" ht="48">
      <c r="A62" s="501" t="s">
        <v>1286</v>
      </c>
      <c r="B62" s="503" t="s">
        <v>1287</v>
      </c>
      <c r="C62" s="553" t="s">
        <v>794</v>
      </c>
      <c r="D62" s="552"/>
      <c r="E62" s="552"/>
      <c r="F62" s="552"/>
      <c r="G62" s="552"/>
      <c r="H62" s="552"/>
      <c r="I62" s="552"/>
      <c r="J62" s="539">
        <v>1</v>
      </c>
      <c r="K62" s="536">
        <f t="shared" si="13"/>
        <v>0.51907604464053991</v>
      </c>
      <c r="L62" s="539">
        <v>10</v>
      </c>
      <c r="M62" s="538">
        <f t="shared" si="18"/>
        <v>10</v>
      </c>
      <c r="N62" s="536">
        <v>0</v>
      </c>
      <c r="O62" s="536">
        <f t="shared" si="14"/>
        <v>0</v>
      </c>
      <c r="P62" s="537">
        <v>0</v>
      </c>
      <c r="Q62" s="537">
        <v>0</v>
      </c>
      <c r="R62" s="536">
        <f t="shared" si="20"/>
        <v>0</v>
      </c>
      <c r="S62" s="536">
        <f t="shared" si="21"/>
        <v>0</v>
      </c>
      <c r="T62" s="537">
        <v>0</v>
      </c>
      <c r="U62" s="536">
        <f t="shared" si="15"/>
        <v>0</v>
      </c>
      <c r="V62" s="536">
        <f t="shared" si="3"/>
        <v>1</v>
      </c>
      <c r="W62" s="536">
        <f t="shared" si="16"/>
        <v>0.51907604464053991</v>
      </c>
      <c r="X62" s="537">
        <f t="shared" si="10"/>
        <v>10</v>
      </c>
      <c r="Y62" s="537">
        <v>0</v>
      </c>
      <c r="Z62" s="536">
        <f t="shared" si="5"/>
        <v>0</v>
      </c>
      <c r="AA62" s="536">
        <f t="shared" si="17"/>
        <v>0</v>
      </c>
      <c r="AB62" s="537">
        <v>0</v>
      </c>
      <c r="AC62" s="536">
        <f t="shared" si="6"/>
        <v>0</v>
      </c>
      <c r="AD62" s="497"/>
      <c r="AE62" s="500"/>
      <c r="AF62" s="497"/>
      <c r="AG62" s="497"/>
      <c r="AH62" s="497"/>
      <c r="AI62" s="498"/>
      <c r="AJ62" s="498"/>
      <c r="AK62" s="498"/>
      <c r="AL62" s="498"/>
      <c r="AM62" s="498"/>
      <c r="AN62" s="498"/>
      <c r="AO62" s="498"/>
      <c r="AP62" s="498"/>
      <c r="AQ62" s="498"/>
      <c r="AR62" s="497"/>
      <c r="AS62" s="497"/>
      <c r="AT62" s="499"/>
      <c r="AU62" s="525"/>
      <c r="AV62" s="525"/>
      <c r="AW62" s="420"/>
      <c r="AX62" s="420"/>
      <c r="AY62" s="420"/>
      <c r="AZ62" s="420"/>
      <c r="BA62" s="420"/>
      <c r="BB62" s="420"/>
      <c r="BC62" s="420"/>
      <c r="BD62" s="420"/>
    </row>
    <row r="63" spans="1:56" s="421" customFormat="1" ht="24">
      <c r="A63" s="501" t="s">
        <v>1288</v>
      </c>
      <c r="B63" s="503" t="s">
        <v>1289</v>
      </c>
      <c r="C63" s="553" t="s">
        <v>794</v>
      </c>
      <c r="D63" s="552"/>
      <c r="E63" s="552"/>
      <c r="F63" s="552"/>
      <c r="G63" s="552"/>
      <c r="H63" s="552"/>
      <c r="I63" s="552"/>
      <c r="J63" s="539">
        <v>1</v>
      </c>
      <c r="K63" s="536">
        <f t="shared" si="13"/>
        <v>0.51907604464053991</v>
      </c>
      <c r="L63" s="539">
        <v>10</v>
      </c>
      <c r="M63" s="538">
        <f t="shared" si="18"/>
        <v>10</v>
      </c>
      <c r="N63" s="536">
        <v>0</v>
      </c>
      <c r="O63" s="536">
        <f t="shared" si="14"/>
        <v>0</v>
      </c>
      <c r="P63" s="537">
        <v>0</v>
      </c>
      <c r="Q63" s="537">
        <v>0</v>
      </c>
      <c r="R63" s="536">
        <f t="shared" si="20"/>
        <v>0</v>
      </c>
      <c r="S63" s="536">
        <f t="shared" si="21"/>
        <v>0</v>
      </c>
      <c r="T63" s="537">
        <v>0</v>
      </c>
      <c r="U63" s="536">
        <f t="shared" si="15"/>
        <v>0</v>
      </c>
      <c r="V63" s="536">
        <f t="shared" si="3"/>
        <v>1</v>
      </c>
      <c r="W63" s="536">
        <f t="shared" si="16"/>
        <v>0.51907604464053991</v>
      </c>
      <c r="X63" s="537">
        <f t="shared" si="10"/>
        <v>10</v>
      </c>
      <c r="Y63" s="537">
        <v>0</v>
      </c>
      <c r="Z63" s="536">
        <f t="shared" si="5"/>
        <v>0</v>
      </c>
      <c r="AA63" s="536">
        <f t="shared" si="17"/>
        <v>0</v>
      </c>
      <c r="AB63" s="537">
        <v>0</v>
      </c>
      <c r="AC63" s="536">
        <f t="shared" si="6"/>
        <v>0</v>
      </c>
      <c r="AD63" s="497"/>
      <c r="AE63" s="500"/>
      <c r="AF63" s="497"/>
      <c r="AG63" s="497"/>
      <c r="AH63" s="497"/>
      <c r="AI63" s="498"/>
      <c r="AJ63" s="498"/>
      <c r="AK63" s="498"/>
      <c r="AL63" s="498"/>
      <c r="AM63" s="498"/>
      <c r="AN63" s="498"/>
      <c r="AO63" s="498"/>
      <c r="AP63" s="498"/>
      <c r="AQ63" s="498"/>
      <c r="AR63" s="497"/>
      <c r="AS63" s="497"/>
      <c r="AT63" s="499"/>
      <c r="AU63" s="525"/>
      <c r="AV63" s="525"/>
      <c r="AW63" s="420"/>
      <c r="AX63" s="420"/>
      <c r="AY63" s="420"/>
      <c r="AZ63" s="420"/>
      <c r="BA63" s="420"/>
      <c r="BB63" s="420"/>
      <c r="BC63" s="420"/>
      <c r="BD63" s="420"/>
    </row>
    <row r="64" spans="1:56" s="421" customFormat="1" ht="48">
      <c r="A64" s="556">
        <v>3</v>
      </c>
      <c r="B64" s="524" t="s">
        <v>1211</v>
      </c>
      <c r="C64" s="533"/>
      <c r="D64" s="284"/>
      <c r="E64" s="284"/>
      <c r="F64" s="284"/>
      <c r="G64" s="284"/>
      <c r="H64" s="284"/>
      <c r="I64" s="284"/>
      <c r="J64" s="541"/>
      <c r="K64" s="536"/>
      <c r="L64" s="540"/>
      <c r="M64" s="538"/>
      <c r="N64" s="536"/>
      <c r="O64" s="536"/>
      <c r="P64" s="536"/>
      <c r="Q64" s="536"/>
      <c r="R64" s="536"/>
      <c r="S64" s="536"/>
      <c r="T64" s="536"/>
      <c r="U64" s="536"/>
      <c r="V64" s="536"/>
      <c r="W64" s="536"/>
      <c r="X64" s="537"/>
      <c r="Y64" s="536"/>
      <c r="Z64" s="536"/>
      <c r="AA64" s="536"/>
      <c r="AB64" s="536"/>
      <c r="AC64" s="536"/>
      <c r="AD64" s="497">
        <v>1</v>
      </c>
      <c r="AE64" s="500">
        <v>0.02</v>
      </c>
      <c r="AF64" s="497">
        <v>0.2</v>
      </c>
      <c r="AG64" s="497">
        <v>0</v>
      </c>
      <c r="AH64" s="497"/>
      <c r="AI64" s="498">
        <f t="shared" ref="AI64" si="22">AE64/AD64*AG64</f>
        <v>0</v>
      </c>
      <c r="AJ64" s="498"/>
      <c r="AK64" s="498"/>
      <c r="AL64" s="498"/>
      <c r="AM64" s="498"/>
      <c r="AN64" s="498"/>
      <c r="AO64" s="498"/>
      <c r="AP64" s="498">
        <f t="shared" si="19"/>
        <v>0</v>
      </c>
      <c r="AQ64" s="498" t="e">
        <f>K64/J64*AP64</f>
        <v>#DIV/0!</v>
      </c>
      <c r="AR64" s="497"/>
      <c r="AS64" s="497"/>
      <c r="AT64" s="499"/>
      <c r="AU64" s="525">
        <f>'[2]3rd Trimester Progress(Sangh)'!AB41</f>
        <v>0</v>
      </c>
      <c r="AV64" s="525">
        <f t="shared" si="11"/>
        <v>0</v>
      </c>
      <c r="AW64" s="420"/>
      <c r="AX64" s="420"/>
      <c r="AY64" s="420"/>
      <c r="AZ64" s="420"/>
      <c r="BA64" s="420"/>
      <c r="BB64" s="420"/>
      <c r="BC64" s="420"/>
      <c r="BD64" s="420"/>
    </row>
    <row r="65" spans="1:56" s="421" customFormat="1" ht="48">
      <c r="A65" s="501" t="s">
        <v>1217</v>
      </c>
      <c r="B65" s="503" t="s">
        <v>1212</v>
      </c>
      <c r="C65" s="532" t="s">
        <v>857</v>
      </c>
      <c r="D65" s="284"/>
      <c r="E65" s="284"/>
      <c r="F65" s="284"/>
      <c r="G65" s="284"/>
      <c r="H65" s="284"/>
      <c r="I65" s="284"/>
      <c r="J65" s="539">
        <v>1</v>
      </c>
      <c r="K65" s="536">
        <f>(L65/$L$74)*100</f>
        <v>0.77861406696080981</v>
      </c>
      <c r="L65" s="539">
        <v>15</v>
      </c>
      <c r="M65" s="538">
        <v>15</v>
      </c>
      <c r="N65" s="536">
        <v>0</v>
      </c>
      <c r="O65" s="536">
        <f>P65/$L$74*100</f>
        <v>0</v>
      </c>
      <c r="P65" s="537">
        <v>0</v>
      </c>
      <c r="Q65" s="537">
        <v>0.2</v>
      </c>
      <c r="R65" s="536">
        <f t="shared" si="20"/>
        <v>0.15572281339216199</v>
      </c>
      <c r="S65" s="536">
        <f t="shared" si="21"/>
        <v>20</v>
      </c>
      <c r="T65" s="537">
        <v>2.8407299999999989</v>
      </c>
      <c r="U65" s="536">
        <f t="shared" ref="U65:U73" si="23">IFERROR(T65/P65*100,0)</f>
        <v>0</v>
      </c>
      <c r="V65" s="536">
        <f t="shared" si="3"/>
        <v>1</v>
      </c>
      <c r="W65" s="536">
        <f>X65/$L$74*100</f>
        <v>0.77861406696080981</v>
      </c>
      <c r="X65" s="537">
        <f t="shared" si="10"/>
        <v>15</v>
      </c>
      <c r="Y65" s="537">
        <v>1</v>
      </c>
      <c r="Z65" s="536">
        <f t="shared" si="5"/>
        <v>0.77861406696080981</v>
      </c>
      <c r="AA65" s="536">
        <f t="shared" si="17"/>
        <v>100</v>
      </c>
      <c r="AB65" s="537">
        <v>14.980729999999999</v>
      </c>
      <c r="AC65" s="536">
        <f t="shared" si="6"/>
        <v>99.871533333333332</v>
      </c>
      <c r="AD65" s="497">
        <v>1</v>
      </c>
      <c r="AE65" s="497">
        <v>8.23</v>
      </c>
      <c r="AF65" s="497">
        <v>100</v>
      </c>
      <c r="AG65" s="497">
        <v>0</v>
      </c>
      <c r="AH65" s="497"/>
      <c r="AI65" s="497">
        <v>0</v>
      </c>
      <c r="AJ65" s="497"/>
      <c r="AK65" s="497"/>
      <c r="AL65" s="497"/>
      <c r="AM65" s="497"/>
      <c r="AN65" s="497"/>
      <c r="AO65" s="497"/>
      <c r="AP65" s="497">
        <v>0</v>
      </c>
      <c r="AQ65" s="497">
        <v>0</v>
      </c>
      <c r="AR65" s="497"/>
      <c r="AS65" s="497"/>
      <c r="AT65" s="530"/>
      <c r="AU65" s="525">
        <f>'[2]3rd Trimester Progress(Sangh)'!AB42</f>
        <v>12.14</v>
      </c>
      <c r="AV65" s="525">
        <f t="shared" si="11"/>
        <v>2.8407299999999989</v>
      </c>
      <c r="AW65" s="420"/>
      <c r="AX65" s="420"/>
      <c r="AY65" s="420"/>
      <c r="AZ65" s="420"/>
      <c r="BA65" s="420"/>
      <c r="BB65" s="420"/>
      <c r="BC65" s="420"/>
      <c r="BD65" s="420"/>
    </row>
    <row r="66" spans="1:56" s="421" customFormat="1" ht="48">
      <c r="A66" s="501" t="s">
        <v>1219</v>
      </c>
      <c r="B66" s="503" t="s">
        <v>1214</v>
      </c>
      <c r="C66" s="532" t="s">
        <v>857</v>
      </c>
      <c r="D66" s="284"/>
      <c r="E66" s="284"/>
      <c r="F66" s="284"/>
      <c r="G66" s="284"/>
      <c r="H66" s="284"/>
      <c r="I66" s="284"/>
      <c r="J66" s="539">
        <v>1</v>
      </c>
      <c r="K66" s="536">
        <f>(L66/$L$74)*100</f>
        <v>0.77861406696080981</v>
      </c>
      <c r="L66" s="539">
        <v>15</v>
      </c>
      <c r="M66" s="538">
        <v>15</v>
      </c>
      <c r="N66" s="536">
        <v>0</v>
      </c>
      <c r="O66" s="536">
        <f>P66/$L$74*100</f>
        <v>0</v>
      </c>
      <c r="P66" s="537">
        <v>0</v>
      </c>
      <c r="Q66" s="537">
        <v>0</v>
      </c>
      <c r="R66" s="536">
        <f t="shared" si="20"/>
        <v>0</v>
      </c>
      <c r="S66" s="536">
        <f t="shared" si="21"/>
        <v>0</v>
      </c>
      <c r="T66" s="537">
        <v>7.6639999999999375E-2</v>
      </c>
      <c r="U66" s="536">
        <f t="shared" si="23"/>
        <v>0</v>
      </c>
      <c r="V66" s="536">
        <f t="shared" si="3"/>
        <v>1</v>
      </c>
      <c r="W66" s="536">
        <f>X66/$L$74*100</f>
        <v>0.77861406696080981</v>
      </c>
      <c r="X66" s="537">
        <f t="shared" si="10"/>
        <v>15</v>
      </c>
      <c r="Y66" s="537">
        <v>1</v>
      </c>
      <c r="Z66" s="536">
        <f t="shared" si="5"/>
        <v>0.77861406696080981</v>
      </c>
      <c r="AA66" s="536">
        <f t="shared" si="17"/>
        <v>100</v>
      </c>
      <c r="AB66" s="537">
        <v>14.98664</v>
      </c>
      <c r="AC66" s="536">
        <f t="shared" si="6"/>
        <v>99.910933333333332</v>
      </c>
      <c r="AD66" s="497"/>
      <c r="AE66" s="497"/>
      <c r="AF66" s="497"/>
      <c r="AG66" s="497"/>
      <c r="AH66" s="497"/>
      <c r="AI66" s="497"/>
      <c r="AJ66" s="497"/>
      <c r="AK66" s="497"/>
      <c r="AL66" s="497"/>
      <c r="AM66" s="497"/>
      <c r="AN66" s="497"/>
      <c r="AO66" s="497"/>
      <c r="AP66" s="497"/>
      <c r="AQ66" s="497"/>
      <c r="AR66" s="497"/>
      <c r="AS66" s="497"/>
      <c r="AT66" s="530"/>
      <c r="AU66" s="525">
        <f>'[2]3rd Trimester Progress(Sangh)'!AB43</f>
        <v>14.91</v>
      </c>
      <c r="AV66" s="525">
        <f t="shared" si="11"/>
        <v>7.6639999999999375E-2</v>
      </c>
      <c r="AW66" s="420"/>
      <c r="AX66" s="420"/>
      <c r="AY66" s="420"/>
      <c r="AZ66" s="420"/>
      <c r="BA66" s="420"/>
      <c r="BB66" s="420"/>
      <c r="BC66" s="420"/>
      <c r="BD66" s="420"/>
    </row>
    <row r="67" spans="1:56" s="421" customFormat="1" ht="48">
      <c r="A67" s="501" t="s">
        <v>1221</v>
      </c>
      <c r="B67" s="503" t="s">
        <v>1216</v>
      </c>
      <c r="C67" s="532" t="s">
        <v>857</v>
      </c>
      <c r="D67" s="284"/>
      <c r="E67" s="284"/>
      <c r="F67" s="284"/>
      <c r="G67" s="284"/>
      <c r="H67" s="284"/>
      <c r="I67" s="284"/>
      <c r="J67" s="539">
        <v>1</v>
      </c>
      <c r="K67" s="536">
        <f>(L67/$L$74)*100</f>
        <v>0.51907604464053991</v>
      </c>
      <c r="L67" s="539">
        <v>10</v>
      </c>
      <c r="M67" s="538">
        <v>10</v>
      </c>
      <c r="N67" s="536">
        <v>0</v>
      </c>
      <c r="O67" s="536">
        <f>P67/$L$74*100</f>
        <v>0</v>
      </c>
      <c r="P67" s="537">
        <v>0</v>
      </c>
      <c r="Q67" s="537">
        <v>0</v>
      </c>
      <c r="R67" s="536">
        <f t="shared" si="20"/>
        <v>0</v>
      </c>
      <c r="S67" s="536">
        <f t="shared" si="21"/>
        <v>0</v>
      </c>
      <c r="T67" s="537">
        <v>0</v>
      </c>
      <c r="U67" s="536">
        <f t="shared" si="23"/>
        <v>0</v>
      </c>
      <c r="V67" s="536">
        <f t="shared" si="3"/>
        <v>1</v>
      </c>
      <c r="W67" s="536">
        <f>X67/$L$74*100</f>
        <v>0.51907604464053991</v>
      </c>
      <c r="X67" s="537">
        <f t="shared" si="10"/>
        <v>10</v>
      </c>
      <c r="Y67" s="537">
        <v>1</v>
      </c>
      <c r="Z67" s="536">
        <f t="shared" si="5"/>
        <v>0.51907604464053991</v>
      </c>
      <c r="AA67" s="536">
        <f t="shared" si="17"/>
        <v>100</v>
      </c>
      <c r="AB67" s="537">
        <v>10</v>
      </c>
      <c r="AC67" s="536">
        <f t="shared" si="6"/>
        <v>100</v>
      </c>
      <c r="AD67" s="497"/>
      <c r="AE67" s="497"/>
      <c r="AF67" s="497"/>
      <c r="AG67" s="497"/>
      <c r="AH67" s="497"/>
      <c r="AI67" s="497"/>
      <c r="AJ67" s="497"/>
      <c r="AK67" s="497"/>
      <c r="AL67" s="497"/>
      <c r="AM67" s="497"/>
      <c r="AN67" s="497"/>
      <c r="AO67" s="497"/>
      <c r="AP67" s="497"/>
      <c r="AQ67" s="497"/>
      <c r="AR67" s="497"/>
      <c r="AS67" s="497"/>
      <c r="AT67" s="530"/>
      <c r="AU67" s="525">
        <f>'[2]3rd Trimester Progress(Sangh)'!AB44</f>
        <v>10</v>
      </c>
      <c r="AV67" s="525">
        <f t="shared" si="11"/>
        <v>0</v>
      </c>
      <c r="AW67" s="420"/>
      <c r="AX67" s="420"/>
      <c r="AY67" s="420"/>
      <c r="AZ67" s="420"/>
      <c r="BA67" s="420"/>
      <c r="BB67" s="420"/>
      <c r="BC67" s="420"/>
      <c r="BD67" s="420"/>
    </row>
    <row r="68" spans="1:56" s="421" customFormat="1" ht="48">
      <c r="A68" s="501" t="s">
        <v>1220</v>
      </c>
      <c r="B68" s="503" t="s">
        <v>1215</v>
      </c>
      <c r="C68" s="532" t="s">
        <v>857</v>
      </c>
      <c r="D68" s="284"/>
      <c r="E68" s="284"/>
      <c r="F68" s="284"/>
      <c r="G68" s="284"/>
      <c r="H68" s="284"/>
      <c r="I68" s="284"/>
      <c r="J68" s="539">
        <v>1</v>
      </c>
      <c r="K68" s="536">
        <f>(L68/$L$74)*100</f>
        <v>0.77861406696080981</v>
      </c>
      <c r="L68" s="539">
        <v>15</v>
      </c>
      <c r="M68" s="538">
        <v>15</v>
      </c>
      <c r="N68" s="536">
        <v>0</v>
      </c>
      <c r="O68" s="536">
        <f>P68/$L$74*100</f>
        <v>0</v>
      </c>
      <c r="P68" s="537">
        <v>0</v>
      </c>
      <c r="Q68" s="537">
        <v>0</v>
      </c>
      <c r="R68" s="536">
        <f t="shared" si="20"/>
        <v>0</v>
      </c>
      <c r="S68" s="536">
        <f t="shared" si="21"/>
        <v>0</v>
      </c>
      <c r="T68" s="537">
        <v>8.9739999999999043E-2</v>
      </c>
      <c r="U68" s="536">
        <f t="shared" si="23"/>
        <v>0</v>
      </c>
      <c r="V68" s="536">
        <f t="shared" si="3"/>
        <v>1</v>
      </c>
      <c r="W68" s="536">
        <f>X68/$L$74*100</f>
        <v>0.77861406696080981</v>
      </c>
      <c r="X68" s="537">
        <f t="shared" si="10"/>
        <v>15</v>
      </c>
      <c r="Y68" s="537">
        <v>1</v>
      </c>
      <c r="Z68" s="536">
        <f t="shared" si="5"/>
        <v>0.77861406696080981</v>
      </c>
      <c r="AA68" s="536">
        <f t="shared" si="17"/>
        <v>100</v>
      </c>
      <c r="AB68" s="547">
        <v>14.999739999999999</v>
      </c>
      <c r="AC68" s="536">
        <f t="shared" si="6"/>
        <v>99.998266666666652</v>
      </c>
      <c r="AD68" s="497"/>
      <c r="AE68" s="497"/>
      <c r="AF68" s="497"/>
      <c r="AG68" s="497"/>
      <c r="AH68" s="497"/>
      <c r="AI68" s="497"/>
      <c r="AJ68" s="497"/>
      <c r="AK68" s="497"/>
      <c r="AL68" s="497"/>
      <c r="AM68" s="497"/>
      <c r="AN68" s="497"/>
      <c r="AO68" s="497"/>
      <c r="AP68" s="497"/>
      <c r="AQ68" s="497"/>
      <c r="AR68" s="497"/>
      <c r="AS68" s="497"/>
      <c r="AT68" s="530"/>
      <c r="AU68" s="525">
        <f>'[2]3rd Trimester Progress(Sangh)'!AB45</f>
        <v>14.91</v>
      </c>
      <c r="AV68" s="525">
        <f t="shared" si="11"/>
        <v>8.9739999999999043E-2</v>
      </c>
      <c r="AW68" s="420"/>
      <c r="AX68" s="420"/>
      <c r="AY68" s="420"/>
      <c r="AZ68" s="420"/>
      <c r="BA68" s="420"/>
      <c r="BB68" s="420"/>
      <c r="BC68" s="420"/>
      <c r="BD68" s="420"/>
    </row>
    <row r="69" spans="1:56" s="421" customFormat="1" ht="48">
      <c r="A69" s="501" t="s">
        <v>1218</v>
      </c>
      <c r="B69" s="503" t="s">
        <v>1213</v>
      </c>
      <c r="C69" s="532" t="s">
        <v>857</v>
      </c>
      <c r="D69" s="284"/>
      <c r="E69" s="284"/>
      <c r="F69" s="284"/>
      <c r="G69" s="284"/>
      <c r="H69" s="284"/>
      <c r="I69" s="284"/>
      <c r="J69" s="539">
        <v>1</v>
      </c>
      <c r="K69" s="536">
        <f>(L69/$L$74)*100</f>
        <v>0.77861406696080981</v>
      </c>
      <c r="L69" s="539">
        <v>15</v>
      </c>
      <c r="M69" s="538">
        <v>15</v>
      </c>
      <c r="N69" s="536">
        <v>0</v>
      </c>
      <c r="O69" s="536">
        <f>P69/$L$74*100</f>
        <v>0</v>
      </c>
      <c r="P69" s="537">
        <v>0</v>
      </c>
      <c r="Q69" s="537">
        <v>0</v>
      </c>
      <c r="R69" s="536">
        <f t="shared" si="20"/>
        <v>0</v>
      </c>
      <c r="S69" s="536">
        <f t="shared" si="21"/>
        <v>0</v>
      </c>
      <c r="T69" s="537">
        <v>0</v>
      </c>
      <c r="U69" s="536">
        <f t="shared" si="23"/>
        <v>0</v>
      </c>
      <c r="V69" s="536">
        <f t="shared" si="3"/>
        <v>1</v>
      </c>
      <c r="W69" s="536">
        <f>X69/$L$74*100</f>
        <v>0.77861406696080981</v>
      </c>
      <c r="X69" s="537">
        <f t="shared" si="10"/>
        <v>15</v>
      </c>
      <c r="Y69" s="537">
        <v>1</v>
      </c>
      <c r="Z69" s="536">
        <f t="shared" si="5"/>
        <v>0.77861406696080981</v>
      </c>
      <c r="AA69" s="536">
        <f t="shared" si="17"/>
        <v>100</v>
      </c>
      <c r="AB69" s="537">
        <v>14.97</v>
      </c>
      <c r="AC69" s="536">
        <f t="shared" si="6"/>
        <v>99.8</v>
      </c>
      <c r="AD69" s="497"/>
      <c r="AE69" s="497"/>
      <c r="AF69" s="497"/>
      <c r="AG69" s="497"/>
      <c r="AH69" s="497"/>
      <c r="AI69" s="497"/>
      <c r="AJ69" s="497"/>
      <c r="AK69" s="497"/>
      <c r="AL69" s="497"/>
      <c r="AM69" s="497"/>
      <c r="AN69" s="497"/>
      <c r="AO69" s="497"/>
      <c r="AP69" s="497"/>
      <c r="AQ69" s="497"/>
      <c r="AR69" s="497"/>
      <c r="AS69" s="497"/>
      <c r="AT69" s="530"/>
      <c r="AU69" s="525">
        <f>'[2]3rd Trimester Progress(Sangh)'!AB46</f>
        <v>14.97</v>
      </c>
      <c r="AV69" s="525">
        <f t="shared" si="11"/>
        <v>0</v>
      </c>
      <c r="AW69" s="420"/>
      <c r="AX69" s="420"/>
      <c r="AY69" s="420"/>
      <c r="AZ69" s="420"/>
      <c r="BA69" s="420"/>
      <c r="BB69" s="420"/>
      <c r="BC69" s="420"/>
      <c r="BD69" s="420"/>
    </row>
    <row r="70" spans="1:56" s="421" customFormat="1" ht="48">
      <c r="A70" s="556">
        <v>4</v>
      </c>
      <c r="B70" s="524" t="s">
        <v>1292</v>
      </c>
      <c r="C70" s="532"/>
      <c r="D70" s="284"/>
      <c r="E70" s="284"/>
      <c r="F70" s="284"/>
      <c r="G70" s="284"/>
      <c r="H70" s="284"/>
      <c r="I70" s="284"/>
      <c r="J70" s="539"/>
      <c r="K70" s="536"/>
      <c r="L70" s="539"/>
      <c r="M70" s="538"/>
      <c r="N70" s="536"/>
      <c r="O70" s="536"/>
      <c r="P70" s="537"/>
      <c r="Q70" s="537"/>
      <c r="R70" s="536"/>
      <c r="S70" s="536"/>
      <c r="T70" s="537"/>
      <c r="U70" s="536"/>
      <c r="V70" s="536"/>
      <c r="W70" s="536"/>
      <c r="X70" s="537"/>
      <c r="Y70" s="537"/>
      <c r="Z70" s="536"/>
      <c r="AA70" s="536"/>
      <c r="AB70" s="537"/>
      <c r="AC70" s="536"/>
      <c r="AD70" s="497"/>
      <c r="AE70" s="497"/>
      <c r="AF70" s="497"/>
      <c r="AG70" s="497"/>
      <c r="AH70" s="497"/>
      <c r="AI70" s="497"/>
      <c r="AJ70" s="497"/>
      <c r="AK70" s="497"/>
      <c r="AL70" s="497"/>
      <c r="AM70" s="497"/>
      <c r="AN70" s="497"/>
      <c r="AO70" s="497"/>
      <c r="AP70" s="497"/>
      <c r="AQ70" s="497"/>
      <c r="AR70" s="497"/>
      <c r="AS70" s="497"/>
      <c r="AT70" s="530"/>
      <c r="AU70" s="525"/>
      <c r="AV70" s="525"/>
      <c r="AW70" s="420"/>
      <c r="AX70" s="420"/>
      <c r="AY70" s="420"/>
      <c r="AZ70" s="420"/>
      <c r="BA70" s="420"/>
      <c r="BB70" s="420"/>
      <c r="BC70" s="420"/>
      <c r="BD70" s="420"/>
    </row>
    <row r="71" spans="1:56" s="421" customFormat="1" ht="26.25" customHeight="1">
      <c r="A71" s="501" t="s">
        <v>1293</v>
      </c>
      <c r="B71" s="503" t="s">
        <v>1294</v>
      </c>
      <c r="C71" s="532" t="s">
        <v>857</v>
      </c>
      <c r="D71" s="284"/>
      <c r="E71" s="284"/>
      <c r="F71" s="284"/>
      <c r="G71" s="284"/>
      <c r="H71" s="284"/>
      <c r="I71" s="284"/>
      <c r="J71" s="539">
        <v>1</v>
      </c>
      <c r="K71" s="536">
        <f>(L71/$L$74)*100</f>
        <v>0.25953802232026996</v>
      </c>
      <c r="L71" s="539">
        <v>5</v>
      </c>
      <c r="M71" s="538">
        <v>5</v>
      </c>
      <c r="N71" s="536">
        <v>0</v>
      </c>
      <c r="O71" s="536">
        <f>P71/$L$74*100</f>
        <v>0</v>
      </c>
      <c r="P71" s="537">
        <v>0</v>
      </c>
      <c r="Q71" s="537">
        <v>0</v>
      </c>
      <c r="R71" s="536">
        <f t="shared" ref="R71:R73" si="24">IF(N71=0,Q71/J71*K71,Q71/N71*O71)</f>
        <v>0</v>
      </c>
      <c r="S71" s="536">
        <f t="shared" ref="S71:S73" si="25">ROUND(IF(O71=0,R71/K71*100,R71/O71*100),2)</f>
        <v>0</v>
      </c>
      <c r="T71" s="537">
        <v>0</v>
      </c>
      <c r="U71" s="536">
        <f t="shared" si="23"/>
        <v>0</v>
      </c>
      <c r="V71" s="536">
        <f>J71</f>
        <v>1</v>
      </c>
      <c r="W71" s="536">
        <f>X71/$L$74*100</f>
        <v>0.25953802232026996</v>
      </c>
      <c r="X71" s="537">
        <f t="shared" si="10"/>
        <v>5</v>
      </c>
      <c r="Y71" s="537">
        <v>0</v>
      </c>
      <c r="Z71" s="536">
        <f t="shared" si="5"/>
        <v>0</v>
      </c>
      <c r="AA71" s="536">
        <f t="shared" si="17"/>
        <v>0</v>
      </c>
      <c r="AB71" s="537">
        <v>0</v>
      </c>
      <c r="AC71" s="536">
        <f t="shared" si="6"/>
        <v>0</v>
      </c>
      <c r="AD71" s="497"/>
      <c r="AE71" s="497"/>
      <c r="AF71" s="497"/>
      <c r="AG71" s="497"/>
      <c r="AH71" s="497"/>
      <c r="AI71" s="497"/>
      <c r="AJ71" s="497"/>
      <c r="AK71" s="497"/>
      <c r="AL71" s="497"/>
      <c r="AM71" s="497"/>
      <c r="AN71" s="497"/>
      <c r="AO71" s="497"/>
      <c r="AP71" s="497"/>
      <c r="AQ71" s="497"/>
      <c r="AR71" s="497"/>
      <c r="AS71" s="497"/>
      <c r="AT71" s="530"/>
      <c r="AU71" s="525"/>
      <c r="AV71" s="525"/>
      <c r="AW71" s="420"/>
      <c r="AX71" s="420"/>
      <c r="AY71" s="420"/>
      <c r="AZ71" s="420"/>
      <c r="BA71" s="420"/>
      <c r="BB71" s="420"/>
      <c r="BC71" s="420"/>
      <c r="BD71" s="420"/>
    </row>
    <row r="72" spans="1:56" s="421" customFormat="1" ht="26.25" customHeight="1">
      <c r="A72" s="501" t="s">
        <v>1295</v>
      </c>
      <c r="B72" s="503" t="s">
        <v>1296</v>
      </c>
      <c r="C72" s="532" t="s">
        <v>857</v>
      </c>
      <c r="D72" s="284"/>
      <c r="E72" s="284"/>
      <c r="F72" s="284"/>
      <c r="G72" s="284"/>
      <c r="H72" s="284"/>
      <c r="I72" s="284"/>
      <c r="J72" s="539">
        <v>1</v>
      </c>
      <c r="K72" s="536">
        <f>(L72/$L$74)*100</f>
        <v>1.0381520892810798</v>
      </c>
      <c r="L72" s="539">
        <v>20</v>
      </c>
      <c r="M72" s="538">
        <v>20</v>
      </c>
      <c r="N72" s="536">
        <v>0</v>
      </c>
      <c r="O72" s="536">
        <f>P72/$L$74*100</f>
        <v>0</v>
      </c>
      <c r="P72" s="537">
        <v>0</v>
      </c>
      <c r="Q72" s="537">
        <v>0</v>
      </c>
      <c r="R72" s="536">
        <f t="shared" si="24"/>
        <v>0</v>
      </c>
      <c r="S72" s="536">
        <f t="shared" si="25"/>
        <v>0</v>
      </c>
      <c r="T72" s="537">
        <v>0</v>
      </c>
      <c r="U72" s="536">
        <f t="shared" si="23"/>
        <v>0</v>
      </c>
      <c r="V72" s="536">
        <f t="shared" ref="V72:V73" si="26">J72</f>
        <v>1</v>
      </c>
      <c r="W72" s="536">
        <f>X72/$L$74*100</f>
        <v>1.0381520892810798</v>
      </c>
      <c r="X72" s="537">
        <f t="shared" si="10"/>
        <v>20</v>
      </c>
      <c r="Y72" s="537">
        <v>0</v>
      </c>
      <c r="Z72" s="536">
        <f t="shared" si="5"/>
        <v>0</v>
      </c>
      <c r="AA72" s="536">
        <f t="shared" si="17"/>
        <v>0</v>
      </c>
      <c r="AB72" s="537">
        <v>0</v>
      </c>
      <c r="AC72" s="536">
        <f t="shared" si="6"/>
        <v>0</v>
      </c>
      <c r="AD72" s="497"/>
      <c r="AE72" s="497"/>
      <c r="AF72" s="497"/>
      <c r="AG72" s="497"/>
      <c r="AH72" s="497"/>
      <c r="AI72" s="497"/>
      <c r="AJ72" s="497"/>
      <c r="AK72" s="497"/>
      <c r="AL72" s="497"/>
      <c r="AM72" s="497"/>
      <c r="AN72" s="497"/>
      <c r="AO72" s="497"/>
      <c r="AP72" s="497"/>
      <c r="AQ72" s="497"/>
      <c r="AR72" s="497"/>
      <c r="AS72" s="497"/>
      <c r="AT72" s="530"/>
      <c r="AU72" s="525"/>
      <c r="AV72" s="525"/>
      <c r="AW72" s="420"/>
      <c r="AX72" s="420"/>
      <c r="AY72" s="420"/>
      <c r="AZ72" s="420"/>
      <c r="BA72" s="420"/>
      <c r="BB72" s="420"/>
      <c r="BC72" s="420"/>
      <c r="BD72" s="420"/>
    </row>
    <row r="73" spans="1:56" s="421" customFormat="1" ht="48">
      <c r="A73" s="501" t="s">
        <v>1297</v>
      </c>
      <c r="B73" s="503" t="s">
        <v>1298</v>
      </c>
      <c r="C73" s="532" t="s">
        <v>857</v>
      </c>
      <c r="D73" s="284"/>
      <c r="E73" s="284"/>
      <c r="F73" s="284"/>
      <c r="G73" s="284"/>
      <c r="H73" s="284"/>
      <c r="I73" s="284"/>
      <c r="J73" s="539">
        <v>1</v>
      </c>
      <c r="K73" s="536">
        <f>(L73/$L$74)*100</f>
        <v>1.0381520892810798</v>
      </c>
      <c r="L73" s="539">
        <v>20</v>
      </c>
      <c r="M73" s="538">
        <v>20</v>
      </c>
      <c r="N73" s="536">
        <v>0</v>
      </c>
      <c r="O73" s="536">
        <f>P73/$L$74*100</f>
        <v>0</v>
      </c>
      <c r="P73" s="537">
        <v>0</v>
      </c>
      <c r="Q73" s="537">
        <v>0</v>
      </c>
      <c r="R73" s="536">
        <f t="shared" si="24"/>
        <v>0</v>
      </c>
      <c r="S73" s="536">
        <f t="shared" si="25"/>
        <v>0</v>
      </c>
      <c r="T73" s="537">
        <v>0</v>
      </c>
      <c r="U73" s="536">
        <f t="shared" si="23"/>
        <v>0</v>
      </c>
      <c r="V73" s="536">
        <f t="shared" si="26"/>
        <v>1</v>
      </c>
      <c r="W73" s="536">
        <f>X73/$L$74*100</f>
        <v>1.0381520892810798</v>
      </c>
      <c r="X73" s="537">
        <f t="shared" si="10"/>
        <v>20</v>
      </c>
      <c r="Y73" s="537">
        <v>0</v>
      </c>
      <c r="Z73" s="536">
        <f t="shared" si="5"/>
        <v>0</v>
      </c>
      <c r="AA73" s="536">
        <f t="shared" si="17"/>
        <v>0</v>
      </c>
      <c r="AB73" s="537">
        <v>0</v>
      </c>
      <c r="AC73" s="536">
        <f t="shared" si="6"/>
        <v>0</v>
      </c>
      <c r="AD73" s="497"/>
      <c r="AE73" s="497"/>
      <c r="AF73" s="497"/>
      <c r="AG73" s="497"/>
      <c r="AH73" s="497"/>
      <c r="AI73" s="497"/>
      <c r="AJ73" s="497"/>
      <c r="AK73" s="497"/>
      <c r="AL73" s="497"/>
      <c r="AM73" s="497"/>
      <c r="AN73" s="497"/>
      <c r="AO73" s="497"/>
      <c r="AP73" s="497"/>
      <c r="AQ73" s="497"/>
      <c r="AR73" s="497"/>
      <c r="AS73" s="497"/>
      <c r="AT73" s="530"/>
      <c r="AU73" s="525"/>
      <c r="AV73" s="525"/>
      <c r="AW73" s="420"/>
      <c r="AX73" s="420"/>
      <c r="AY73" s="420"/>
      <c r="AZ73" s="420"/>
      <c r="BA73" s="420"/>
      <c r="BB73" s="420"/>
      <c r="BC73" s="420"/>
      <c r="BD73" s="420"/>
    </row>
    <row r="74" spans="1:56" s="421" customFormat="1" ht="24">
      <c r="A74" s="432"/>
      <c r="B74" s="545" t="s">
        <v>863</v>
      </c>
      <c r="C74" s="427"/>
      <c r="D74" s="433"/>
      <c r="E74" s="433"/>
      <c r="F74" s="433"/>
      <c r="G74" s="433"/>
      <c r="H74" s="433"/>
      <c r="I74" s="433"/>
      <c r="J74" s="460"/>
      <c r="K74" s="543">
        <f>SUM(K24:K73)</f>
        <v>100.00000000000009</v>
      </c>
      <c r="L74" s="543">
        <f>SUM(L24:L73)</f>
        <v>1926.5</v>
      </c>
      <c r="M74" s="543">
        <f>SUM(M24:M73)</f>
        <v>1926.5</v>
      </c>
      <c r="N74" s="516"/>
      <c r="O74" s="543">
        <f>SUM(O24:O73)</f>
        <v>11.757072411108227</v>
      </c>
      <c r="P74" s="543">
        <f>SUM(P24:P73)</f>
        <v>226.5</v>
      </c>
      <c r="Q74" s="514"/>
      <c r="R74" s="515">
        <f>SUM(R24:R73)</f>
        <v>18.239034518556974</v>
      </c>
      <c r="S74" s="542">
        <f>R74/O74*100</f>
        <v>155.13245033112585</v>
      </c>
      <c r="T74" s="515">
        <f>SUM(T24:T69)</f>
        <v>566.34860000000003</v>
      </c>
      <c r="U74" s="515">
        <f>T74/P74%</f>
        <v>250.04353200883003</v>
      </c>
      <c r="V74" s="516"/>
      <c r="W74" s="543">
        <f>SUM(W24:W73)</f>
        <v>100.00000000000009</v>
      </c>
      <c r="X74" s="543">
        <f>SUM(X24:X73)</f>
        <v>1926.5</v>
      </c>
      <c r="Y74" s="516"/>
      <c r="Z74" s="515">
        <f>SUM(Z24:Z73)</f>
        <v>83.13002854918247</v>
      </c>
      <c r="AA74" s="542">
        <f>Z74/W74*100</f>
        <v>83.130028549182398</v>
      </c>
      <c r="AB74" s="515">
        <f>SUM(AB24:AB73)</f>
        <v>1594.1786000000002</v>
      </c>
      <c r="AC74" s="515">
        <f>AB74/X74%</f>
        <v>82.749992213859343</v>
      </c>
      <c r="AD74" s="535"/>
      <c r="AE74" s="535"/>
      <c r="AF74" s="535"/>
      <c r="AG74" s="535"/>
      <c r="AH74" s="535"/>
      <c r="AI74" s="535"/>
      <c r="AJ74" s="535"/>
      <c r="AK74" s="535"/>
      <c r="AL74" s="535"/>
      <c r="AM74" s="535"/>
      <c r="AN74" s="535"/>
      <c r="AO74" s="535"/>
      <c r="AP74" s="535"/>
      <c r="AQ74" s="535"/>
      <c r="AR74" s="535"/>
      <c r="AS74" s="535"/>
      <c r="AT74" s="544"/>
      <c r="AU74" s="548">
        <f>SUM(AU24:AU69)</f>
        <v>1027.83</v>
      </c>
      <c r="AV74" s="548">
        <f>SUM(AV24:AV69)</f>
        <v>566.34860000000003</v>
      </c>
      <c r="AW74" s="420"/>
      <c r="AX74" s="420"/>
      <c r="AY74" s="420"/>
      <c r="AZ74" s="420"/>
      <c r="BA74" s="420"/>
      <c r="BB74" s="420"/>
      <c r="BC74" s="420"/>
      <c r="BD74" s="420"/>
    </row>
    <row r="75" spans="1:56" s="220" customFormat="1" ht="19.5" hidden="1">
      <c r="A75" s="386"/>
      <c r="B75" s="387"/>
      <c r="C75" s="388"/>
      <c r="D75" s="389"/>
      <c r="E75" s="389"/>
      <c r="F75" s="389"/>
      <c r="G75" s="389"/>
      <c r="H75" s="389"/>
      <c r="I75" s="389"/>
      <c r="J75" s="390"/>
      <c r="K75" s="617"/>
      <c r="L75" s="617"/>
      <c r="M75" s="391"/>
      <c r="N75" s="391"/>
      <c r="O75" s="391"/>
      <c r="P75" s="391"/>
      <c r="Q75" s="391"/>
      <c r="R75" s="391"/>
      <c r="S75" s="391"/>
      <c r="T75" s="391"/>
      <c r="U75" s="391"/>
      <c r="V75" s="390"/>
      <c r="W75" s="390"/>
      <c r="X75" s="390"/>
      <c r="Y75" s="390"/>
      <c r="Z75" s="390"/>
      <c r="AA75" s="390"/>
      <c r="AB75" s="390"/>
      <c r="AC75" s="390"/>
      <c r="AD75" s="390"/>
      <c r="AE75" s="390"/>
      <c r="AF75" s="390"/>
      <c r="AG75" s="390"/>
      <c r="AH75" s="390"/>
      <c r="AI75" s="389"/>
      <c r="AJ75" s="389"/>
      <c r="AK75" s="389"/>
      <c r="AL75" s="389"/>
      <c r="AM75" s="389"/>
      <c r="AN75" s="389"/>
      <c r="AO75" s="389"/>
      <c r="AP75" s="389"/>
      <c r="AQ75" s="392"/>
      <c r="AR75" s="392"/>
      <c r="AS75" s="392"/>
      <c r="AT75" s="393"/>
    </row>
    <row r="76" spans="1:56" s="220" customFormat="1" ht="19.5" hidden="1">
      <c r="A76" s="394"/>
      <c r="C76" s="311"/>
      <c r="D76" s="256"/>
      <c r="E76" s="256"/>
      <c r="F76" s="256"/>
      <c r="G76" s="256"/>
      <c r="H76" s="256"/>
      <c r="I76" s="256"/>
      <c r="J76" s="257"/>
      <c r="K76" s="257"/>
      <c r="L76" s="321"/>
      <c r="M76" s="321"/>
      <c r="N76" s="321"/>
      <c r="O76" s="321"/>
      <c r="P76" s="321"/>
      <c r="Q76" s="321"/>
      <c r="R76" s="321"/>
      <c r="S76" s="321"/>
      <c r="T76" s="321"/>
      <c r="U76" s="321"/>
      <c r="V76" s="257"/>
      <c r="W76" s="257"/>
      <c r="X76" s="257"/>
      <c r="Y76" s="257"/>
      <c r="Z76" s="257"/>
      <c r="AA76" s="257"/>
      <c r="AB76" s="257"/>
      <c r="AC76" s="257"/>
      <c r="AD76" s="257"/>
      <c r="AE76" s="257"/>
      <c r="AF76" s="257"/>
      <c r="AG76" s="257"/>
      <c r="AH76" s="257"/>
      <c r="AI76" s="256"/>
      <c r="AJ76" s="256"/>
      <c r="AK76" s="256"/>
      <c r="AL76" s="256"/>
      <c r="AM76" s="256"/>
      <c r="AN76" s="256"/>
      <c r="AO76" s="256"/>
      <c r="AP76" s="256"/>
      <c r="AQ76" s="256"/>
      <c r="AR76" s="256"/>
      <c r="AS76" s="256"/>
      <c r="AT76" s="395"/>
    </row>
    <row r="77" spans="1:56" s="220" customFormat="1" ht="19.5" hidden="1">
      <c r="A77" s="394"/>
      <c r="C77" s="311"/>
      <c r="D77" s="256"/>
      <c r="E77" s="256"/>
      <c r="F77" s="256"/>
      <c r="G77" s="256"/>
      <c r="H77" s="256"/>
      <c r="I77" s="256"/>
      <c r="J77" s="257"/>
      <c r="K77" s="257"/>
      <c r="L77" s="321"/>
      <c r="M77" s="321"/>
      <c r="N77" s="321"/>
      <c r="O77" s="321"/>
      <c r="P77" s="321"/>
      <c r="Q77" s="321"/>
      <c r="R77" s="321"/>
      <c r="S77" s="321"/>
      <c r="T77" s="321"/>
      <c r="U77" s="321"/>
      <c r="V77" s="257"/>
      <c r="W77" s="257"/>
      <c r="X77" s="257"/>
      <c r="Y77" s="257"/>
      <c r="Z77" s="257"/>
      <c r="AA77" s="257"/>
      <c r="AB77" s="257"/>
      <c r="AC77" s="257"/>
      <c r="AD77" s="257"/>
      <c r="AE77" s="257"/>
      <c r="AF77" s="257"/>
      <c r="AG77" s="257"/>
      <c r="AH77" s="257"/>
      <c r="AI77" s="256"/>
      <c r="AJ77" s="256"/>
      <c r="AK77" s="256"/>
      <c r="AL77" s="256"/>
      <c r="AM77" s="256"/>
      <c r="AN77" s="256"/>
      <c r="AO77" s="256"/>
      <c r="AP77" s="256"/>
      <c r="AQ77" s="256"/>
      <c r="AR77" s="256"/>
      <c r="AS77" s="256"/>
      <c r="AT77" s="395"/>
    </row>
    <row r="78" spans="1:56" s="220" customFormat="1" ht="19.5" hidden="1">
      <c r="A78" s="394"/>
      <c r="B78" s="258" t="s">
        <v>750</v>
      </c>
      <c r="C78" s="312"/>
      <c r="D78" s="259"/>
      <c r="E78" s="259"/>
      <c r="F78" s="259"/>
      <c r="G78" s="259"/>
      <c r="H78" s="259"/>
      <c r="I78" s="259"/>
      <c r="J78" s="260"/>
      <c r="K78" s="261"/>
      <c r="L78" s="322"/>
      <c r="M78" s="322"/>
      <c r="N78" s="322"/>
      <c r="O78" s="322"/>
      <c r="P78" s="322"/>
      <c r="Q78" s="322"/>
      <c r="R78" s="322"/>
      <c r="S78" s="322"/>
      <c r="T78" s="322"/>
      <c r="U78" s="322"/>
      <c r="V78" s="261"/>
      <c r="W78" s="261"/>
      <c r="X78" s="261"/>
      <c r="Y78" s="258" t="s">
        <v>770</v>
      </c>
      <c r="Z78" s="261"/>
      <c r="AA78" s="261"/>
      <c r="AB78" s="261"/>
      <c r="AC78" s="261"/>
      <c r="AD78" s="261"/>
      <c r="AE78" s="261"/>
      <c r="AF78" s="261"/>
      <c r="AG78" s="261"/>
      <c r="AH78" s="261"/>
      <c r="AI78" s="259"/>
      <c r="AJ78" s="259"/>
      <c r="AK78" s="259"/>
      <c r="AL78" s="259"/>
      <c r="AM78" s="259"/>
      <c r="AN78" s="259"/>
      <c r="AO78" s="259"/>
      <c r="AP78" s="259"/>
      <c r="AQ78" s="259"/>
      <c r="AT78" s="396"/>
    </row>
    <row r="79" spans="1:56" s="220" customFormat="1" ht="19.5" hidden="1">
      <c r="A79" s="397"/>
      <c r="B79" s="398" t="s">
        <v>751</v>
      </c>
      <c r="C79" s="399"/>
      <c r="D79" s="400"/>
      <c r="E79" s="400"/>
      <c r="F79" s="400"/>
      <c r="G79" s="400"/>
      <c r="H79" s="400"/>
      <c r="I79" s="400"/>
      <c r="J79" s="401"/>
      <c r="K79" s="401"/>
      <c r="L79" s="402"/>
      <c r="M79" s="402"/>
      <c r="N79" s="402"/>
      <c r="O79" s="402"/>
      <c r="P79" s="402"/>
      <c r="Q79" s="402"/>
      <c r="R79" s="402"/>
      <c r="S79" s="402"/>
      <c r="T79" s="402"/>
      <c r="U79" s="402"/>
      <c r="V79" s="401"/>
      <c r="W79" s="401"/>
      <c r="X79" s="401"/>
      <c r="Y79" s="398" t="s">
        <v>751</v>
      </c>
      <c r="Z79" s="403"/>
      <c r="AA79" s="401"/>
      <c r="AB79" s="401"/>
      <c r="AC79" s="401"/>
      <c r="AD79" s="401"/>
      <c r="AE79" s="401"/>
      <c r="AF79" s="401"/>
      <c r="AG79" s="401"/>
      <c r="AH79" s="401"/>
      <c r="AI79" s="400"/>
      <c r="AJ79" s="400"/>
      <c r="AK79" s="400"/>
      <c r="AL79" s="400"/>
      <c r="AM79" s="400"/>
      <c r="AN79" s="400"/>
      <c r="AO79" s="400"/>
      <c r="AP79" s="400"/>
      <c r="AQ79" s="400"/>
      <c r="AR79" s="400"/>
      <c r="AS79" s="400"/>
      <c r="AT79" s="404"/>
    </row>
    <row r="80" spans="1:56" s="220" customFormat="1" ht="19.5">
      <c r="C80" s="313"/>
      <c r="L80" s="323"/>
      <c r="M80" s="323"/>
      <c r="N80" s="323"/>
      <c r="O80" s="323"/>
      <c r="P80" s="323"/>
      <c r="Q80" s="323"/>
      <c r="R80" s="323"/>
      <c r="S80" s="323"/>
      <c r="T80" s="323"/>
      <c r="U80" s="323"/>
      <c r="AD80" s="220" t="s">
        <v>457</v>
      </c>
      <c r="AF80" s="263"/>
      <c r="AU80" s="262"/>
    </row>
    <row r="81" spans="3:56" s="220" customFormat="1" ht="19.5">
      <c r="C81" s="313"/>
      <c r="L81" s="323"/>
      <c r="M81" s="323"/>
      <c r="N81" s="323"/>
      <c r="O81" s="323"/>
      <c r="P81" s="323"/>
      <c r="Q81" s="323"/>
      <c r="R81" s="323"/>
      <c r="S81" s="323"/>
      <c r="T81" s="323"/>
      <c r="U81" s="323"/>
      <c r="AF81" s="263"/>
    </row>
    <row r="82" spans="3:56" s="220" customFormat="1" ht="19.5">
      <c r="C82" s="313"/>
      <c r="L82" s="323"/>
      <c r="M82" s="323"/>
      <c r="N82" s="323"/>
      <c r="O82" s="323"/>
      <c r="P82" s="323"/>
      <c r="Q82" s="323"/>
      <c r="R82" s="323"/>
      <c r="S82" s="323"/>
      <c r="T82" s="323"/>
      <c r="U82" s="323"/>
      <c r="AF82" s="263"/>
    </row>
    <row r="83" spans="3:56" s="220" customFormat="1" ht="19.5">
      <c r="C83" s="313"/>
      <c r="L83" s="323"/>
      <c r="M83" s="323"/>
      <c r="N83" s="323"/>
      <c r="O83" s="323"/>
      <c r="P83" s="323"/>
      <c r="Q83" s="323"/>
      <c r="R83" s="323"/>
      <c r="S83" s="323"/>
      <c r="T83" s="323"/>
      <c r="U83" s="323"/>
      <c r="AF83" s="263"/>
    </row>
    <row r="84" spans="3:56" ht="19.5">
      <c r="C84" s="313"/>
      <c r="D84" s="220"/>
      <c r="E84" s="220"/>
      <c r="F84" s="220"/>
      <c r="G84" s="220"/>
      <c r="H84" s="220"/>
      <c r="I84" s="220"/>
      <c r="J84" s="220"/>
      <c r="K84" s="220"/>
      <c r="L84" s="323"/>
      <c r="M84" s="323"/>
      <c r="N84" s="323"/>
      <c r="O84" s="323"/>
      <c r="P84" s="323"/>
      <c r="Q84" s="323"/>
      <c r="R84" s="323"/>
      <c r="S84" s="323"/>
      <c r="T84" s="323"/>
      <c r="U84" s="323"/>
      <c r="V84" s="220"/>
      <c r="W84" s="220"/>
      <c r="X84" s="220"/>
      <c r="Y84" s="220"/>
      <c r="Z84" s="220"/>
      <c r="AA84" s="220"/>
      <c r="AB84" s="220"/>
      <c r="AC84" s="220"/>
      <c r="AD84" s="220"/>
      <c r="AE84" s="220"/>
      <c r="AF84" s="263"/>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row>
    <row r="85" spans="3:56" ht="19.5">
      <c r="C85" s="313"/>
      <c r="D85" s="220"/>
      <c r="E85" s="220"/>
      <c r="F85" s="220"/>
      <c r="G85" s="220"/>
      <c r="H85" s="220"/>
      <c r="I85" s="220"/>
      <c r="J85" s="220"/>
      <c r="K85" s="220"/>
      <c r="L85" s="323"/>
      <c r="M85" s="323"/>
      <c r="N85" s="323"/>
      <c r="O85" s="323"/>
      <c r="P85" s="323"/>
      <c r="Q85" s="323"/>
      <c r="R85" s="323"/>
      <c r="S85" s="323"/>
      <c r="T85" s="323"/>
      <c r="U85" s="323"/>
      <c r="V85" s="220"/>
      <c r="W85" s="220"/>
      <c r="X85" s="220"/>
      <c r="Y85" s="220"/>
      <c r="Z85" s="220"/>
      <c r="AA85" s="262"/>
      <c r="AB85" s="220"/>
      <c r="AC85" s="220"/>
      <c r="AD85" s="220"/>
      <c r="AE85" s="220"/>
      <c r="AF85" s="263"/>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row>
    <row r="86" spans="3:56" ht="19.5">
      <c r="C86" s="313"/>
      <c r="D86" s="220"/>
      <c r="E86" s="220"/>
      <c r="F86" s="220"/>
      <c r="G86" s="220"/>
      <c r="H86" s="220"/>
      <c r="I86" s="220"/>
      <c r="J86" s="220"/>
      <c r="K86" s="220"/>
      <c r="L86" s="323"/>
      <c r="M86" s="323"/>
      <c r="N86" s="323"/>
      <c r="O86" s="323"/>
      <c r="P86" s="323"/>
      <c r="Q86" s="323"/>
      <c r="R86" s="323"/>
      <c r="S86" s="323"/>
      <c r="T86" s="323"/>
      <c r="U86" s="323"/>
      <c r="V86" s="220"/>
      <c r="W86" s="220"/>
      <c r="X86" s="220"/>
      <c r="Y86" s="220"/>
      <c r="Z86" s="220"/>
      <c r="AA86" s="220"/>
      <c r="AB86" s="220"/>
      <c r="AC86" s="220"/>
      <c r="AD86" s="220"/>
      <c r="AE86" s="220"/>
      <c r="AF86" s="263"/>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row>
    <row r="87" spans="3:56" ht="19.5">
      <c r="C87" s="313"/>
      <c r="D87" s="220"/>
      <c r="E87" s="220"/>
      <c r="F87" s="220"/>
      <c r="G87" s="220"/>
      <c r="H87" s="220"/>
      <c r="I87" s="220"/>
      <c r="J87" s="220"/>
      <c r="K87" s="220"/>
      <c r="L87" s="323"/>
      <c r="M87" s="323"/>
      <c r="N87" s="323"/>
      <c r="O87" s="323"/>
      <c r="P87" s="323"/>
      <c r="Q87" s="323"/>
      <c r="R87" s="323"/>
      <c r="S87" s="323"/>
      <c r="T87" s="323"/>
      <c r="U87" s="323"/>
      <c r="V87" s="220"/>
      <c r="W87" s="220"/>
      <c r="X87" s="220"/>
      <c r="Y87" s="220"/>
      <c r="Z87" s="220"/>
      <c r="AA87" s="220"/>
      <c r="AB87" s="220"/>
      <c r="AC87" s="220"/>
      <c r="AD87" s="220"/>
      <c r="AE87" s="220"/>
      <c r="AF87" s="263"/>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row>
    <row r="88" spans="3:56" ht="19.5">
      <c r="C88" s="313"/>
      <c r="D88" s="220"/>
      <c r="E88" s="220"/>
      <c r="F88" s="220"/>
      <c r="G88" s="220"/>
      <c r="H88" s="220"/>
      <c r="I88" s="220"/>
      <c r="J88" s="220"/>
      <c r="K88" s="220"/>
      <c r="L88" s="323"/>
      <c r="M88" s="323"/>
      <c r="N88" s="323"/>
      <c r="O88" s="323"/>
      <c r="P88" s="323"/>
      <c r="Q88" s="323"/>
      <c r="R88" s="323"/>
      <c r="S88" s="323"/>
      <c r="T88" s="323"/>
      <c r="U88" s="323"/>
      <c r="V88" s="220"/>
      <c r="W88" s="220"/>
      <c r="X88" s="220"/>
      <c r="Y88" s="220"/>
      <c r="Z88" s="220"/>
      <c r="AA88" s="220"/>
      <c r="AB88" s="220"/>
      <c r="AC88" s="220"/>
      <c r="AD88" s="220"/>
      <c r="AE88" s="220"/>
      <c r="AF88" s="263"/>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row>
    <row r="89" spans="3:56" ht="19.5">
      <c r="C89" s="313"/>
      <c r="D89" s="220"/>
      <c r="E89" s="220"/>
      <c r="F89" s="220"/>
      <c r="G89" s="220"/>
      <c r="H89" s="220"/>
      <c r="I89" s="220"/>
      <c r="J89" s="220"/>
      <c r="K89" s="220"/>
      <c r="L89" s="323"/>
      <c r="M89" s="323"/>
      <c r="N89" s="323"/>
      <c r="O89" s="323"/>
      <c r="P89" s="323"/>
      <c r="Q89" s="323"/>
      <c r="R89" s="323"/>
      <c r="S89" s="323"/>
      <c r="T89" s="323"/>
      <c r="U89" s="323"/>
      <c r="V89" s="220"/>
      <c r="W89" s="220"/>
      <c r="X89" s="220"/>
      <c r="Y89" s="220"/>
      <c r="Z89" s="220"/>
      <c r="AA89" s="220"/>
      <c r="AB89" s="220"/>
      <c r="AC89" s="220"/>
      <c r="AD89" s="220"/>
      <c r="AE89" s="220"/>
      <c r="AF89" s="263"/>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row>
    <row r="90" spans="3:56" ht="19.5">
      <c r="C90" s="313"/>
      <c r="D90" s="220"/>
      <c r="E90" s="220"/>
      <c r="F90" s="220"/>
      <c r="G90" s="220"/>
      <c r="H90" s="220"/>
      <c r="I90" s="220"/>
      <c r="J90" s="220"/>
      <c r="K90" s="220"/>
      <c r="L90" s="323"/>
      <c r="M90" s="323"/>
      <c r="N90" s="323"/>
      <c r="O90" s="323"/>
      <c r="P90" s="323"/>
      <c r="Q90" s="323"/>
      <c r="R90" s="323"/>
      <c r="S90" s="323"/>
      <c r="T90" s="323"/>
      <c r="U90" s="323"/>
      <c r="V90" s="220"/>
      <c r="W90" s="220"/>
      <c r="X90" s="220"/>
      <c r="Y90" s="220"/>
      <c r="Z90" s="220"/>
      <c r="AA90" s="220"/>
      <c r="AB90" s="220"/>
      <c r="AC90" s="220"/>
      <c r="AD90" s="220"/>
      <c r="AE90" s="220"/>
      <c r="AF90" s="263"/>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row>
    <row r="91" spans="3:56" ht="19.5">
      <c r="C91" s="313"/>
      <c r="D91" s="220"/>
      <c r="E91" s="220"/>
      <c r="F91" s="220"/>
      <c r="G91" s="220"/>
      <c r="H91" s="220"/>
      <c r="I91" s="220"/>
      <c r="J91" s="220"/>
      <c r="K91" s="220"/>
      <c r="L91" s="323"/>
      <c r="M91" s="323"/>
      <c r="N91" s="323"/>
      <c r="O91" s="323"/>
      <c r="P91" s="323"/>
      <c r="Q91" s="323"/>
      <c r="R91" s="323"/>
      <c r="S91" s="323"/>
      <c r="T91" s="323"/>
      <c r="U91" s="323"/>
      <c r="V91" s="220"/>
      <c r="W91" s="220"/>
      <c r="X91" s="220"/>
      <c r="Y91" s="220"/>
      <c r="Z91" s="220"/>
      <c r="AA91" s="220"/>
      <c r="AB91" s="220"/>
      <c r="AC91" s="220"/>
      <c r="AD91" s="220"/>
      <c r="AE91" s="220"/>
      <c r="AF91" s="263"/>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row>
    <row r="92" spans="3:56" ht="19.5">
      <c r="C92" s="313"/>
      <c r="D92" s="220"/>
      <c r="E92" s="220"/>
      <c r="F92" s="220"/>
      <c r="G92" s="220"/>
      <c r="H92" s="220"/>
      <c r="I92" s="220"/>
      <c r="J92" s="220"/>
      <c r="K92" s="220"/>
      <c r="L92" s="323"/>
      <c r="M92" s="323"/>
      <c r="N92" s="323"/>
      <c r="O92" s="323"/>
      <c r="P92" s="323"/>
      <c r="Q92" s="323"/>
      <c r="R92" s="323"/>
      <c r="S92" s="323"/>
      <c r="T92" s="323"/>
      <c r="U92" s="323"/>
      <c r="V92" s="220"/>
      <c r="W92" s="220"/>
      <c r="X92" s="220"/>
      <c r="Y92" s="220"/>
      <c r="Z92" s="220"/>
      <c r="AA92" s="220"/>
      <c r="AB92" s="220"/>
      <c r="AC92" s="220"/>
      <c r="AD92" s="220"/>
      <c r="AE92" s="220"/>
      <c r="AF92" s="263"/>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row>
    <row r="93" spans="3:56" ht="19.5">
      <c r="C93" s="313"/>
      <c r="D93" s="220"/>
      <c r="E93" s="220"/>
      <c r="F93" s="220"/>
      <c r="G93" s="220"/>
      <c r="H93" s="220"/>
      <c r="I93" s="220"/>
      <c r="J93" s="220"/>
      <c r="K93" s="220"/>
      <c r="L93" s="323"/>
      <c r="M93" s="323"/>
      <c r="N93" s="323"/>
      <c r="O93" s="323"/>
      <c r="P93" s="323"/>
      <c r="Q93" s="323"/>
      <c r="R93" s="323"/>
      <c r="S93" s="323"/>
      <c r="T93" s="323"/>
      <c r="U93" s="323"/>
      <c r="V93" s="220"/>
      <c r="W93" s="220"/>
      <c r="X93" s="220"/>
      <c r="Y93" s="220"/>
      <c r="Z93" s="220"/>
      <c r="AA93" s="220"/>
      <c r="AB93" s="220"/>
      <c r="AC93" s="220"/>
      <c r="AD93" s="220"/>
      <c r="AE93" s="220"/>
      <c r="AF93" s="263"/>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row>
    <row r="94" spans="3:56" ht="19.5">
      <c r="C94" s="313"/>
      <c r="D94" s="220"/>
      <c r="E94" s="220"/>
      <c r="F94" s="220"/>
      <c r="G94" s="220"/>
      <c r="H94" s="220"/>
      <c r="I94" s="220"/>
      <c r="J94" s="220"/>
      <c r="K94" s="220"/>
      <c r="L94" s="323"/>
      <c r="M94" s="323"/>
      <c r="N94" s="323"/>
      <c r="O94" s="323"/>
      <c r="P94" s="323"/>
      <c r="Q94" s="323"/>
      <c r="R94" s="323"/>
      <c r="S94" s="323"/>
      <c r="T94" s="323"/>
      <c r="U94" s="323"/>
      <c r="V94" s="220"/>
      <c r="W94" s="220"/>
      <c r="X94" s="220"/>
      <c r="Y94" s="220"/>
      <c r="Z94" s="220"/>
      <c r="AA94" s="220"/>
      <c r="AB94" s="220"/>
      <c r="AC94" s="220"/>
      <c r="AD94" s="220"/>
      <c r="AE94" s="220"/>
      <c r="AF94" s="263"/>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row>
    <row r="95" spans="3:56" ht="19.5">
      <c r="C95" s="313"/>
      <c r="D95" s="220"/>
      <c r="E95" s="220"/>
      <c r="F95" s="220"/>
      <c r="G95" s="220"/>
      <c r="H95" s="220"/>
      <c r="I95" s="220"/>
      <c r="J95" s="220"/>
      <c r="K95" s="220"/>
      <c r="L95" s="323"/>
      <c r="M95" s="323"/>
      <c r="N95" s="323"/>
      <c r="O95" s="323"/>
      <c r="P95" s="323"/>
      <c r="Q95" s="323"/>
      <c r="R95" s="323"/>
      <c r="S95" s="323"/>
      <c r="T95" s="323"/>
      <c r="U95" s="323"/>
      <c r="V95" s="220"/>
      <c r="W95" s="220"/>
      <c r="X95" s="220"/>
      <c r="Y95" s="220"/>
      <c r="Z95" s="220"/>
      <c r="AA95" s="220"/>
      <c r="AB95" s="220"/>
      <c r="AC95" s="220"/>
      <c r="AD95" s="220"/>
      <c r="AE95" s="220"/>
      <c r="AF95" s="263"/>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row>
    <row r="96" spans="3:56" ht="19.5">
      <c r="C96" s="313"/>
      <c r="D96" s="220"/>
      <c r="E96" s="220"/>
      <c r="F96" s="220"/>
      <c r="G96" s="220"/>
      <c r="H96" s="220"/>
      <c r="I96" s="220"/>
      <c r="J96" s="220"/>
      <c r="K96" s="220"/>
      <c r="L96" s="323"/>
      <c r="M96" s="323"/>
      <c r="N96" s="323"/>
      <c r="O96" s="323"/>
      <c r="P96" s="323"/>
      <c r="Q96" s="323"/>
      <c r="R96" s="323"/>
      <c r="S96" s="323"/>
      <c r="T96" s="323"/>
      <c r="U96" s="323"/>
      <c r="V96" s="220"/>
      <c r="W96" s="220"/>
      <c r="X96" s="220"/>
      <c r="Y96" s="220"/>
      <c r="Z96" s="220"/>
      <c r="AA96" s="220"/>
      <c r="AB96" s="220"/>
      <c r="AC96" s="220"/>
      <c r="AD96" s="220"/>
      <c r="AE96" s="220"/>
      <c r="AF96" s="263"/>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row>
    <row r="97" spans="3:56" ht="19.5">
      <c r="C97" s="313"/>
      <c r="D97" s="220"/>
      <c r="E97" s="220"/>
      <c r="F97" s="220"/>
      <c r="G97" s="220"/>
      <c r="H97" s="220"/>
      <c r="I97" s="220"/>
      <c r="J97" s="220"/>
      <c r="K97" s="220"/>
      <c r="L97" s="323"/>
      <c r="M97" s="323"/>
      <c r="N97" s="323"/>
      <c r="O97" s="323"/>
      <c r="P97" s="323"/>
      <c r="Q97" s="323"/>
      <c r="R97" s="323"/>
      <c r="S97" s="323"/>
      <c r="T97" s="323"/>
      <c r="U97" s="323"/>
      <c r="V97" s="220"/>
      <c r="W97" s="220"/>
      <c r="X97" s="220"/>
      <c r="Y97" s="220"/>
      <c r="Z97" s="220"/>
      <c r="AA97" s="220"/>
      <c r="AB97" s="220"/>
      <c r="AC97" s="220"/>
      <c r="AD97" s="220"/>
      <c r="AE97" s="220"/>
      <c r="AF97" s="263"/>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row>
    <row r="98" spans="3:56" ht="19.5">
      <c r="C98" s="313"/>
      <c r="D98" s="220"/>
      <c r="E98" s="220"/>
      <c r="F98" s="220"/>
      <c r="G98" s="220"/>
      <c r="H98" s="220"/>
      <c r="I98" s="220"/>
      <c r="J98" s="220"/>
      <c r="K98" s="220"/>
      <c r="L98" s="323"/>
      <c r="M98" s="323"/>
      <c r="N98" s="323"/>
      <c r="O98" s="323"/>
      <c r="P98" s="323"/>
      <c r="Q98" s="323"/>
      <c r="R98" s="323"/>
      <c r="S98" s="323"/>
      <c r="T98" s="323"/>
      <c r="U98" s="323"/>
      <c r="V98" s="220"/>
      <c r="W98" s="220"/>
      <c r="X98" s="220"/>
      <c r="Y98" s="220"/>
      <c r="Z98" s="220"/>
      <c r="AA98" s="220"/>
      <c r="AB98" s="220"/>
      <c r="AC98" s="220"/>
      <c r="AD98" s="220"/>
      <c r="AE98" s="220"/>
      <c r="AF98" s="263"/>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row>
    <row r="99" spans="3:56" ht="19.5">
      <c r="C99" s="313"/>
      <c r="D99" s="220"/>
      <c r="E99" s="220"/>
      <c r="F99" s="220"/>
      <c r="G99" s="220"/>
      <c r="H99" s="220"/>
      <c r="I99" s="220"/>
      <c r="J99" s="220"/>
      <c r="K99" s="220"/>
      <c r="L99" s="323"/>
      <c r="M99" s="323"/>
      <c r="N99" s="323"/>
      <c r="O99" s="323"/>
      <c r="P99" s="323"/>
      <c r="Q99" s="323"/>
      <c r="R99" s="323"/>
      <c r="S99" s="323"/>
      <c r="T99" s="323"/>
      <c r="U99" s="323"/>
      <c r="V99" s="220"/>
      <c r="W99" s="220"/>
      <c r="X99" s="220"/>
      <c r="Y99" s="220"/>
      <c r="Z99" s="220"/>
      <c r="AA99" s="220"/>
      <c r="AB99" s="220"/>
      <c r="AC99" s="220"/>
      <c r="AD99" s="220"/>
      <c r="AE99" s="220"/>
      <c r="AF99" s="263"/>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row>
    <row r="100" spans="3:56" ht="19.5">
      <c r="C100" s="313"/>
      <c r="D100" s="220"/>
      <c r="E100" s="220"/>
      <c r="F100" s="220"/>
      <c r="G100" s="220"/>
      <c r="H100" s="220"/>
      <c r="I100" s="220"/>
      <c r="J100" s="220"/>
      <c r="K100" s="220"/>
      <c r="L100" s="323"/>
      <c r="M100" s="323"/>
      <c r="N100" s="323"/>
      <c r="O100" s="323"/>
      <c r="P100" s="323"/>
      <c r="Q100" s="323"/>
      <c r="R100" s="323"/>
      <c r="S100" s="323"/>
      <c r="T100" s="323"/>
      <c r="U100" s="323"/>
      <c r="V100" s="220"/>
      <c r="W100" s="220"/>
      <c r="X100" s="220"/>
      <c r="Y100" s="220"/>
      <c r="Z100" s="220"/>
      <c r="AA100" s="220"/>
      <c r="AB100" s="220"/>
      <c r="AC100" s="220"/>
      <c r="AD100" s="220"/>
      <c r="AE100" s="220"/>
      <c r="AF100" s="263"/>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row>
    <row r="101" spans="3:56" ht="19.5">
      <c r="C101" s="313"/>
      <c r="D101" s="220"/>
      <c r="E101" s="220"/>
      <c r="F101" s="220"/>
      <c r="G101" s="220"/>
      <c r="H101" s="220"/>
      <c r="I101" s="220"/>
      <c r="J101" s="220"/>
      <c r="K101" s="220"/>
      <c r="L101" s="323"/>
      <c r="M101" s="323"/>
      <c r="N101" s="323"/>
      <c r="O101" s="323"/>
      <c r="P101" s="323"/>
      <c r="Q101" s="323"/>
      <c r="R101" s="323"/>
      <c r="S101" s="323"/>
      <c r="T101" s="323"/>
      <c r="U101" s="323"/>
      <c r="V101" s="220"/>
      <c r="W101" s="220"/>
      <c r="X101" s="220"/>
      <c r="Y101" s="220"/>
      <c r="Z101" s="220"/>
      <c r="AA101" s="220"/>
      <c r="AB101" s="220"/>
      <c r="AC101" s="220"/>
      <c r="AD101" s="220"/>
      <c r="AE101" s="220"/>
      <c r="AF101" s="263"/>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row>
    <row r="102" spans="3:56" ht="19.5">
      <c r="C102" s="313"/>
      <c r="D102" s="220"/>
      <c r="E102" s="220"/>
      <c r="F102" s="220"/>
      <c r="G102" s="220"/>
      <c r="H102" s="220"/>
      <c r="I102" s="220"/>
      <c r="J102" s="220"/>
      <c r="K102" s="220"/>
      <c r="L102" s="323"/>
      <c r="M102" s="323"/>
      <c r="N102" s="323"/>
      <c r="O102" s="323"/>
      <c r="P102" s="323"/>
      <c r="Q102" s="323"/>
      <c r="R102" s="323"/>
      <c r="S102" s="323"/>
      <c r="T102" s="323"/>
      <c r="U102" s="323"/>
      <c r="V102" s="220"/>
      <c r="W102" s="220"/>
      <c r="X102" s="220"/>
      <c r="Y102" s="220"/>
      <c r="Z102" s="220"/>
      <c r="AA102" s="220"/>
      <c r="AB102" s="220"/>
      <c r="AC102" s="220"/>
      <c r="AD102" s="220"/>
      <c r="AE102" s="220"/>
      <c r="AF102" s="263"/>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row>
    <row r="103" spans="3:56" ht="19.5">
      <c r="C103" s="313"/>
      <c r="D103" s="220"/>
      <c r="E103" s="220"/>
      <c r="F103" s="220"/>
      <c r="G103" s="220"/>
      <c r="H103" s="220"/>
      <c r="I103" s="220"/>
      <c r="J103" s="220"/>
      <c r="K103" s="220"/>
      <c r="L103" s="323"/>
      <c r="M103" s="323"/>
      <c r="N103" s="323"/>
      <c r="O103" s="323"/>
      <c r="P103" s="323"/>
      <c r="Q103" s="323"/>
      <c r="R103" s="323"/>
      <c r="S103" s="323"/>
      <c r="T103" s="323"/>
      <c r="U103" s="323"/>
      <c r="V103" s="220"/>
      <c r="W103" s="220"/>
      <c r="X103" s="220"/>
      <c r="Y103" s="220"/>
      <c r="Z103" s="220"/>
      <c r="AA103" s="220"/>
      <c r="AB103" s="220"/>
      <c r="AC103" s="220"/>
      <c r="AD103" s="220"/>
      <c r="AE103" s="220"/>
      <c r="AF103" s="263"/>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row>
  </sheetData>
  <mergeCells count="26">
    <mergeCell ref="K75:L75"/>
    <mergeCell ref="AJ19:AL19"/>
    <mergeCell ref="AM19:AO19"/>
    <mergeCell ref="AP19:AQ19"/>
    <mergeCell ref="AR19:AS19"/>
    <mergeCell ref="N19:P19"/>
    <mergeCell ref="Q19:S19"/>
    <mergeCell ref="T19:U19"/>
    <mergeCell ref="AT19:AT20"/>
    <mergeCell ref="A22:B22"/>
    <mergeCell ref="J19:M19"/>
    <mergeCell ref="V19:X19"/>
    <mergeCell ref="Y19:AA19"/>
    <mergeCell ref="AB19:AC19"/>
    <mergeCell ref="AD19:AF19"/>
    <mergeCell ref="AG19:AI19"/>
    <mergeCell ref="A19:A20"/>
    <mergeCell ref="B19:B20"/>
    <mergeCell ref="C19:C20"/>
    <mergeCell ref="D19:F19"/>
    <mergeCell ref="G19:I19"/>
    <mergeCell ref="A1:AT1"/>
    <mergeCell ref="A2:AT2"/>
    <mergeCell ref="A3:AT3"/>
    <mergeCell ref="A4:AT4"/>
    <mergeCell ref="AP6:AQ6"/>
  </mergeCells>
  <printOptions horizontalCentered="1"/>
  <pageMargins left="0.25" right="0.25" top="0.75" bottom="0.25" header="0.2" footer="0.3"/>
  <pageSetup paperSize="9" scale="53" fitToHeight="0" orientation="landscape" horizontalDpi="300" verticalDpi="300" r:id="rId1"/>
  <headerFooter>
    <oddFooter xml:space="preserve">&amp;Lयोजना शाखा प्रमुख&amp;Cआर्थिक प्रशासन शाखा प्रमुख&amp;Rकार्यालय प्रमुख </oddFooter>
  </headerFooter>
  <rowBreaks count="2" manualBreakCount="2">
    <brk id="40" max="45" man="1"/>
    <brk id="57" max="4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1"/>
  <sheetViews>
    <sheetView workbookViewId="0">
      <selection activeCell="J1" sqref="J1:J96"/>
    </sheetView>
  </sheetViews>
  <sheetFormatPr defaultColWidth="8.85546875" defaultRowHeight="19.5"/>
  <cols>
    <col min="1" max="3" width="8.85546875" style="209"/>
    <col min="4" max="4" width="19.42578125" style="209" customWidth="1"/>
    <col min="5" max="5" width="56.85546875" style="209" customWidth="1"/>
    <col min="6" max="7" width="8.85546875" style="209"/>
    <col min="8" max="8" width="11.7109375" style="209" bestFit="1" customWidth="1"/>
    <col min="9" max="16384" width="8.85546875" style="209"/>
  </cols>
  <sheetData>
    <row r="1" spans="1:10" ht="78.75" thickBot="1">
      <c r="A1" s="207">
        <v>31121</v>
      </c>
      <c r="B1" s="208" t="s">
        <v>500</v>
      </c>
      <c r="C1" s="208" t="s">
        <v>501</v>
      </c>
      <c r="D1" s="208" t="s">
        <v>511</v>
      </c>
      <c r="E1" s="208" t="s">
        <v>512</v>
      </c>
      <c r="F1" s="208" t="s">
        <v>502</v>
      </c>
      <c r="G1" s="208" t="s">
        <v>503</v>
      </c>
      <c r="H1" s="208">
        <v>4500000</v>
      </c>
      <c r="I1" s="208">
        <v>0</v>
      </c>
      <c r="J1" s="219">
        <f>H1/100000</f>
        <v>45</v>
      </c>
    </row>
    <row r="2" spans="1:10" ht="78.75" thickBot="1">
      <c r="A2" s="210">
        <v>31154</v>
      </c>
      <c r="B2" s="211" t="s">
        <v>504</v>
      </c>
      <c r="C2" s="211" t="s">
        <v>501</v>
      </c>
      <c r="D2" s="211" t="s">
        <v>232</v>
      </c>
      <c r="E2" s="211" t="s">
        <v>513</v>
      </c>
      <c r="F2" s="211" t="s">
        <v>502</v>
      </c>
      <c r="G2" s="211" t="s">
        <v>503</v>
      </c>
      <c r="H2" s="211">
        <v>10000000</v>
      </c>
      <c r="I2" s="211">
        <v>0</v>
      </c>
      <c r="J2" s="219">
        <f t="shared" ref="J2:J65" si="0">H2/100000</f>
        <v>100</v>
      </c>
    </row>
    <row r="3" spans="1:10" ht="78.75" thickBot="1">
      <c r="A3" s="207">
        <v>31154</v>
      </c>
      <c r="B3" s="208" t="s">
        <v>504</v>
      </c>
      <c r="C3" s="208" t="s">
        <v>501</v>
      </c>
      <c r="D3" s="208" t="s">
        <v>240</v>
      </c>
      <c r="E3" s="208" t="s">
        <v>514</v>
      </c>
      <c r="F3" s="208" t="s">
        <v>502</v>
      </c>
      <c r="G3" s="208" t="s">
        <v>503</v>
      </c>
      <c r="H3" s="208">
        <v>500000</v>
      </c>
      <c r="I3" s="208">
        <v>0</v>
      </c>
      <c r="J3" s="219">
        <f t="shared" si="0"/>
        <v>5</v>
      </c>
    </row>
    <row r="4" spans="1:10" ht="78.75" thickBot="1">
      <c r="A4" s="210">
        <v>31154</v>
      </c>
      <c r="B4" s="211" t="s">
        <v>504</v>
      </c>
      <c r="C4" s="211" t="s">
        <v>501</v>
      </c>
      <c r="D4" s="211" t="s">
        <v>244</v>
      </c>
      <c r="E4" s="211" t="s">
        <v>515</v>
      </c>
      <c r="F4" s="211" t="s">
        <v>502</v>
      </c>
      <c r="G4" s="211" t="s">
        <v>503</v>
      </c>
      <c r="H4" s="211">
        <v>1000000</v>
      </c>
      <c r="I4" s="211">
        <v>0</v>
      </c>
      <c r="J4" s="219">
        <f t="shared" si="0"/>
        <v>10</v>
      </c>
    </row>
    <row r="5" spans="1:10" ht="78.75" thickBot="1">
      <c r="A5" s="207">
        <v>31154</v>
      </c>
      <c r="B5" s="208" t="s">
        <v>504</v>
      </c>
      <c r="C5" s="208" t="s">
        <v>501</v>
      </c>
      <c r="D5" s="208" t="s">
        <v>248</v>
      </c>
      <c r="E5" s="208" t="s">
        <v>516</v>
      </c>
      <c r="F5" s="208" t="s">
        <v>502</v>
      </c>
      <c r="G5" s="208" t="s">
        <v>503</v>
      </c>
      <c r="H5" s="208">
        <v>2000000</v>
      </c>
      <c r="I5" s="208">
        <v>0</v>
      </c>
      <c r="J5" s="219">
        <f t="shared" si="0"/>
        <v>20</v>
      </c>
    </row>
    <row r="6" spans="1:10" ht="78.75" thickBot="1">
      <c r="A6" s="210">
        <v>31154</v>
      </c>
      <c r="B6" s="211" t="s">
        <v>504</v>
      </c>
      <c r="C6" s="211" t="s">
        <v>501</v>
      </c>
      <c r="D6" s="211" t="s">
        <v>517</v>
      </c>
      <c r="E6" s="211" t="s">
        <v>518</v>
      </c>
      <c r="F6" s="211" t="s">
        <v>502</v>
      </c>
      <c r="G6" s="211" t="s">
        <v>503</v>
      </c>
      <c r="H6" s="211">
        <v>15000000</v>
      </c>
      <c r="I6" s="211">
        <v>0</v>
      </c>
      <c r="J6" s="219">
        <f t="shared" si="0"/>
        <v>150</v>
      </c>
    </row>
    <row r="7" spans="1:10" ht="78.75" thickBot="1">
      <c r="A7" s="207">
        <v>31154</v>
      </c>
      <c r="B7" s="208" t="s">
        <v>504</v>
      </c>
      <c r="C7" s="208" t="s">
        <v>501</v>
      </c>
      <c r="D7" s="208" t="s">
        <v>242</v>
      </c>
      <c r="E7" s="208" t="s">
        <v>519</v>
      </c>
      <c r="F7" s="208" t="s">
        <v>502</v>
      </c>
      <c r="G7" s="208" t="s">
        <v>503</v>
      </c>
      <c r="H7" s="208">
        <v>1000000</v>
      </c>
      <c r="I7" s="208">
        <v>0</v>
      </c>
      <c r="J7" s="219">
        <f t="shared" si="0"/>
        <v>10</v>
      </c>
    </row>
    <row r="8" spans="1:10" ht="78.75" thickBot="1">
      <c r="A8" s="210">
        <v>31154</v>
      </c>
      <c r="B8" s="211" t="s">
        <v>504</v>
      </c>
      <c r="C8" s="211" t="s">
        <v>501</v>
      </c>
      <c r="D8" s="211" t="s">
        <v>246</v>
      </c>
      <c r="E8" s="211" t="s">
        <v>520</v>
      </c>
      <c r="F8" s="211" t="s">
        <v>502</v>
      </c>
      <c r="G8" s="211" t="s">
        <v>503</v>
      </c>
      <c r="H8" s="211">
        <v>1000000</v>
      </c>
      <c r="I8" s="211">
        <v>0</v>
      </c>
      <c r="J8" s="219">
        <f t="shared" si="0"/>
        <v>10</v>
      </c>
    </row>
    <row r="9" spans="1:10" ht="78.75" thickBot="1">
      <c r="A9" s="207">
        <v>31154</v>
      </c>
      <c r="B9" s="208" t="s">
        <v>504</v>
      </c>
      <c r="C9" s="208" t="s">
        <v>501</v>
      </c>
      <c r="D9" s="208" t="s">
        <v>250</v>
      </c>
      <c r="E9" s="208" t="s">
        <v>521</v>
      </c>
      <c r="F9" s="208" t="s">
        <v>502</v>
      </c>
      <c r="G9" s="208" t="s">
        <v>503</v>
      </c>
      <c r="H9" s="208">
        <v>0</v>
      </c>
      <c r="I9" s="208">
        <v>0</v>
      </c>
      <c r="J9" s="219">
        <f t="shared" si="0"/>
        <v>0</v>
      </c>
    </row>
    <row r="10" spans="1:10" ht="78.75" thickBot="1">
      <c r="A10" s="210">
        <v>31154</v>
      </c>
      <c r="B10" s="211" t="s">
        <v>504</v>
      </c>
      <c r="C10" s="211" t="s">
        <v>501</v>
      </c>
      <c r="D10" s="211" t="s">
        <v>234</v>
      </c>
      <c r="E10" s="211" t="s">
        <v>20</v>
      </c>
      <c r="F10" s="211" t="s">
        <v>502</v>
      </c>
      <c r="G10" s="211" t="s">
        <v>503</v>
      </c>
      <c r="H10" s="211">
        <v>6000000</v>
      </c>
      <c r="I10" s="211">
        <v>0</v>
      </c>
      <c r="J10" s="219">
        <f t="shared" si="0"/>
        <v>60</v>
      </c>
    </row>
    <row r="11" spans="1:10" ht="78.75" thickBot="1">
      <c r="A11" s="207">
        <v>31155</v>
      </c>
      <c r="B11" s="208" t="s">
        <v>505</v>
      </c>
      <c r="C11" s="208" t="s">
        <v>501</v>
      </c>
      <c r="D11" s="208" t="s">
        <v>275</v>
      </c>
      <c r="E11" s="208" t="s">
        <v>522</v>
      </c>
      <c r="F11" s="208" t="s">
        <v>502</v>
      </c>
      <c r="G11" s="208" t="s">
        <v>503</v>
      </c>
      <c r="H11" s="208">
        <v>100000</v>
      </c>
      <c r="I11" s="208">
        <v>0</v>
      </c>
      <c r="J11" s="219">
        <f t="shared" si="0"/>
        <v>1</v>
      </c>
    </row>
    <row r="12" spans="1:10" ht="78.75" thickBot="1">
      <c r="A12" s="210">
        <v>31155</v>
      </c>
      <c r="B12" s="211" t="s">
        <v>505</v>
      </c>
      <c r="C12" s="211" t="s">
        <v>501</v>
      </c>
      <c r="D12" s="211" t="s">
        <v>287</v>
      </c>
      <c r="E12" s="211" t="s">
        <v>523</v>
      </c>
      <c r="F12" s="211" t="s">
        <v>502</v>
      </c>
      <c r="G12" s="211" t="s">
        <v>503</v>
      </c>
      <c r="H12" s="211">
        <v>450000</v>
      </c>
      <c r="I12" s="211">
        <v>0</v>
      </c>
      <c r="J12" s="219">
        <f t="shared" si="0"/>
        <v>4.5</v>
      </c>
    </row>
    <row r="13" spans="1:10" ht="78.75" thickBot="1">
      <c r="A13" s="207">
        <v>31155</v>
      </c>
      <c r="B13" s="208" t="s">
        <v>505</v>
      </c>
      <c r="C13" s="208" t="s">
        <v>501</v>
      </c>
      <c r="D13" s="208" t="s">
        <v>307</v>
      </c>
      <c r="E13" s="208" t="s">
        <v>524</v>
      </c>
      <c r="F13" s="208" t="s">
        <v>502</v>
      </c>
      <c r="G13" s="208" t="s">
        <v>503</v>
      </c>
      <c r="H13" s="208">
        <v>1500000</v>
      </c>
      <c r="I13" s="208">
        <v>0</v>
      </c>
      <c r="J13" s="219">
        <f t="shared" si="0"/>
        <v>15</v>
      </c>
    </row>
    <row r="14" spans="1:10" ht="78.75" thickBot="1">
      <c r="A14" s="210">
        <v>31155</v>
      </c>
      <c r="B14" s="211" t="s">
        <v>505</v>
      </c>
      <c r="C14" s="211" t="s">
        <v>501</v>
      </c>
      <c r="D14" s="211" t="s">
        <v>373</v>
      </c>
      <c r="E14" s="211" t="s">
        <v>525</v>
      </c>
      <c r="F14" s="211" t="s">
        <v>502</v>
      </c>
      <c r="G14" s="211" t="s">
        <v>503</v>
      </c>
      <c r="H14" s="211">
        <v>350000</v>
      </c>
      <c r="I14" s="211">
        <v>0</v>
      </c>
      <c r="J14" s="219">
        <f t="shared" si="0"/>
        <v>3.5</v>
      </c>
    </row>
    <row r="15" spans="1:10" ht="78.75" thickBot="1">
      <c r="A15" s="207">
        <v>31155</v>
      </c>
      <c r="B15" s="208" t="s">
        <v>505</v>
      </c>
      <c r="C15" s="208" t="s">
        <v>501</v>
      </c>
      <c r="D15" s="208" t="s">
        <v>279</v>
      </c>
      <c r="E15" s="208" t="s">
        <v>526</v>
      </c>
      <c r="F15" s="208" t="s">
        <v>502</v>
      </c>
      <c r="G15" s="208" t="s">
        <v>503</v>
      </c>
      <c r="H15" s="208">
        <v>5000000</v>
      </c>
      <c r="I15" s="208">
        <v>0</v>
      </c>
      <c r="J15" s="219">
        <f t="shared" si="0"/>
        <v>50</v>
      </c>
    </row>
    <row r="16" spans="1:10" ht="78.75" thickBot="1">
      <c r="A16" s="210">
        <v>31155</v>
      </c>
      <c r="B16" s="211" t="s">
        <v>505</v>
      </c>
      <c r="C16" s="211" t="s">
        <v>501</v>
      </c>
      <c r="D16" s="211" t="s">
        <v>331</v>
      </c>
      <c r="E16" s="211" t="s">
        <v>527</v>
      </c>
      <c r="F16" s="211" t="s">
        <v>502</v>
      </c>
      <c r="G16" s="211" t="s">
        <v>503</v>
      </c>
      <c r="H16" s="211">
        <v>50000</v>
      </c>
      <c r="I16" s="211">
        <v>0</v>
      </c>
      <c r="J16" s="219">
        <f t="shared" si="0"/>
        <v>0.5</v>
      </c>
    </row>
    <row r="17" spans="1:10" ht="78.75" thickBot="1">
      <c r="A17" s="207">
        <v>31155</v>
      </c>
      <c r="B17" s="208" t="s">
        <v>505</v>
      </c>
      <c r="C17" s="208" t="s">
        <v>501</v>
      </c>
      <c r="D17" s="208" t="s">
        <v>335</v>
      </c>
      <c r="E17" s="208" t="s">
        <v>528</v>
      </c>
      <c r="F17" s="208" t="s">
        <v>502</v>
      </c>
      <c r="G17" s="208" t="s">
        <v>503</v>
      </c>
      <c r="H17" s="208">
        <v>50000</v>
      </c>
      <c r="I17" s="208">
        <v>0</v>
      </c>
      <c r="J17" s="219">
        <f t="shared" si="0"/>
        <v>0.5</v>
      </c>
    </row>
    <row r="18" spans="1:10" ht="78.75" thickBot="1">
      <c r="A18" s="210">
        <v>31155</v>
      </c>
      <c r="B18" s="211" t="s">
        <v>505</v>
      </c>
      <c r="C18" s="211" t="s">
        <v>501</v>
      </c>
      <c r="D18" s="211" t="s">
        <v>337</v>
      </c>
      <c r="E18" s="211" t="s">
        <v>529</v>
      </c>
      <c r="F18" s="211" t="s">
        <v>502</v>
      </c>
      <c r="G18" s="211" t="s">
        <v>503</v>
      </c>
      <c r="H18" s="211">
        <v>50000</v>
      </c>
      <c r="I18" s="211">
        <v>0</v>
      </c>
      <c r="J18" s="219">
        <f t="shared" si="0"/>
        <v>0.5</v>
      </c>
    </row>
    <row r="19" spans="1:10" ht="78.75" thickBot="1">
      <c r="A19" s="207">
        <v>31155</v>
      </c>
      <c r="B19" s="208" t="s">
        <v>505</v>
      </c>
      <c r="C19" s="208" t="s">
        <v>501</v>
      </c>
      <c r="D19" s="208" t="s">
        <v>343</v>
      </c>
      <c r="E19" s="208" t="s">
        <v>530</v>
      </c>
      <c r="F19" s="208" t="s">
        <v>502</v>
      </c>
      <c r="G19" s="208" t="s">
        <v>503</v>
      </c>
      <c r="H19" s="208">
        <v>100000</v>
      </c>
      <c r="I19" s="208">
        <v>0</v>
      </c>
      <c r="J19" s="219">
        <f t="shared" si="0"/>
        <v>1</v>
      </c>
    </row>
    <row r="20" spans="1:10" ht="78.75" thickBot="1">
      <c r="A20" s="210">
        <v>31155</v>
      </c>
      <c r="B20" s="211" t="s">
        <v>505</v>
      </c>
      <c r="C20" s="211" t="s">
        <v>501</v>
      </c>
      <c r="D20" s="211" t="s">
        <v>345</v>
      </c>
      <c r="E20" s="211" t="s">
        <v>531</v>
      </c>
      <c r="F20" s="211" t="s">
        <v>502</v>
      </c>
      <c r="G20" s="211" t="s">
        <v>503</v>
      </c>
      <c r="H20" s="211">
        <v>10000</v>
      </c>
      <c r="I20" s="211">
        <v>0</v>
      </c>
      <c r="J20" s="219">
        <f t="shared" si="0"/>
        <v>0.1</v>
      </c>
    </row>
    <row r="21" spans="1:10" ht="78.75" thickBot="1">
      <c r="A21" s="207">
        <v>31155</v>
      </c>
      <c r="B21" s="208" t="s">
        <v>505</v>
      </c>
      <c r="C21" s="208" t="s">
        <v>501</v>
      </c>
      <c r="D21" s="208" t="s">
        <v>353</v>
      </c>
      <c r="E21" s="208" t="s">
        <v>532</v>
      </c>
      <c r="F21" s="208" t="s">
        <v>502</v>
      </c>
      <c r="G21" s="208" t="s">
        <v>503</v>
      </c>
      <c r="H21" s="208">
        <v>100000</v>
      </c>
      <c r="I21" s="208">
        <v>0</v>
      </c>
      <c r="J21" s="219">
        <f t="shared" si="0"/>
        <v>1</v>
      </c>
    </row>
    <row r="22" spans="1:10" ht="78.75" thickBot="1">
      <c r="A22" s="210">
        <v>31155</v>
      </c>
      <c r="B22" s="211" t="s">
        <v>505</v>
      </c>
      <c r="C22" s="211" t="s">
        <v>501</v>
      </c>
      <c r="D22" s="211" t="s">
        <v>361</v>
      </c>
      <c r="E22" s="211" t="s">
        <v>533</v>
      </c>
      <c r="F22" s="211" t="s">
        <v>502</v>
      </c>
      <c r="G22" s="211" t="s">
        <v>503</v>
      </c>
      <c r="H22" s="211">
        <v>350000</v>
      </c>
      <c r="I22" s="211">
        <v>0</v>
      </c>
      <c r="J22" s="219">
        <f t="shared" si="0"/>
        <v>3.5</v>
      </c>
    </row>
    <row r="23" spans="1:10" ht="78.75" thickBot="1">
      <c r="A23" s="207">
        <v>31155</v>
      </c>
      <c r="B23" s="208" t="s">
        <v>505</v>
      </c>
      <c r="C23" s="208" t="s">
        <v>501</v>
      </c>
      <c r="D23" s="208" t="s">
        <v>263</v>
      </c>
      <c r="E23" s="208" t="s">
        <v>534</v>
      </c>
      <c r="F23" s="208" t="s">
        <v>502</v>
      </c>
      <c r="G23" s="208" t="s">
        <v>503</v>
      </c>
      <c r="H23" s="208">
        <v>100000</v>
      </c>
      <c r="I23" s="208">
        <v>0</v>
      </c>
      <c r="J23" s="219">
        <f t="shared" si="0"/>
        <v>1</v>
      </c>
    </row>
    <row r="24" spans="1:10" ht="78.75" thickBot="1">
      <c r="A24" s="210">
        <v>31155</v>
      </c>
      <c r="B24" s="211" t="s">
        <v>505</v>
      </c>
      <c r="C24" s="211" t="s">
        <v>501</v>
      </c>
      <c r="D24" s="211" t="s">
        <v>285</v>
      </c>
      <c r="E24" s="211" t="s">
        <v>535</v>
      </c>
      <c r="F24" s="211" t="s">
        <v>502</v>
      </c>
      <c r="G24" s="211" t="s">
        <v>503</v>
      </c>
      <c r="H24" s="211">
        <v>500000</v>
      </c>
      <c r="I24" s="211">
        <v>0</v>
      </c>
      <c r="J24" s="219">
        <f t="shared" si="0"/>
        <v>5</v>
      </c>
    </row>
    <row r="25" spans="1:10" ht="78.75" thickBot="1">
      <c r="A25" s="207">
        <v>31155</v>
      </c>
      <c r="B25" s="208" t="s">
        <v>505</v>
      </c>
      <c r="C25" s="208" t="s">
        <v>501</v>
      </c>
      <c r="D25" s="208" t="s">
        <v>299</v>
      </c>
      <c r="E25" s="208" t="s">
        <v>536</v>
      </c>
      <c r="F25" s="208" t="s">
        <v>502</v>
      </c>
      <c r="G25" s="208" t="s">
        <v>503</v>
      </c>
      <c r="H25" s="208">
        <v>200000</v>
      </c>
      <c r="I25" s="208">
        <v>0</v>
      </c>
      <c r="J25" s="219">
        <f t="shared" si="0"/>
        <v>2</v>
      </c>
    </row>
    <row r="26" spans="1:10" ht="78.75" thickBot="1">
      <c r="A26" s="210">
        <v>31155</v>
      </c>
      <c r="B26" s="211" t="s">
        <v>505</v>
      </c>
      <c r="C26" s="211" t="s">
        <v>501</v>
      </c>
      <c r="D26" s="211" t="s">
        <v>537</v>
      </c>
      <c r="E26" s="211" t="s">
        <v>538</v>
      </c>
      <c r="F26" s="211" t="s">
        <v>502</v>
      </c>
      <c r="G26" s="211" t="s">
        <v>503</v>
      </c>
      <c r="H26" s="211">
        <v>7000000</v>
      </c>
      <c r="I26" s="211">
        <v>0</v>
      </c>
      <c r="J26" s="219">
        <f t="shared" si="0"/>
        <v>70</v>
      </c>
    </row>
    <row r="27" spans="1:10" ht="78.75" thickBot="1">
      <c r="A27" s="207">
        <v>31155</v>
      </c>
      <c r="B27" s="208" t="s">
        <v>505</v>
      </c>
      <c r="C27" s="208" t="s">
        <v>501</v>
      </c>
      <c r="D27" s="208" t="s">
        <v>395</v>
      </c>
      <c r="E27" s="208" t="s">
        <v>539</v>
      </c>
      <c r="F27" s="208" t="s">
        <v>502</v>
      </c>
      <c r="G27" s="208" t="s">
        <v>503</v>
      </c>
      <c r="H27" s="208">
        <v>500000</v>
      </c>
      <c r="I27" s="208">
        <v>0</v>
      </c>
      <c r="J27" s="219">
        <f t="shared" si="0"/>
        <v>5</v>
      </c>
    </row>
    <row r="28" spans="1:10" ht="78.75" thickBot="1">
      <c r="A28" s="210">
        <v>31155</v>
      </c>
      <c r="B28" s="211" t="s">
        <v>505</v>
      </c>
      <c r="C28" s="211" t="s">
        <v>501</v>
      </c>
      <c r="D28" s="211" t="s">
        <v>409</v>
      </c>
      <c r="E28" s="211" t="s">
        <v>540</v>
      </c>
      <c r="F28" s="211" t="s">
        <v>502</v>
      </c>
      <c r="G28" s="211" t="s">
        <v>503</v>
      </c>
      <c r="H28" s="211">
        <v>500000</v>
      </c>
      <c r="I28" s="211">
        <v>0</v>
      </c>
      <c r="J28" s="219">
        <f t="shared" si="0"/>
        <v>5</v>
      </c>
    </row>
    <row r="29" spans="1:10" ht="78.75" thickBot="1">
      <c r="A29" s="207">
        <v>31155</v>
      </c>
      <c r="B29" s="208" t="s">
        <v>505</v>
      </c>
      <c r="C29" s="208" t="s">
        <v>501</v>
      </c>
      <c r="D29" s="208" t="s">
        <v>425</v>
      </c>
      <c r="E29" s="208" t="s">
        <v>540</v>
      </c>
      <c r="F29" s="208" t="s">
        <v>502</v>
      </c>
      <c r="G29" s="208" t="s">
        <v>503</v>
      </c>
      <c r="H29" s="208">
        <v>600000</v>
      </c>
      <c r="I29" s="208">
        <v>0</v>
      </c>
      <c r="J29" s="219">
        <f t="shared" si="0"/>
        <v>6</v>
      </c>
    </row>
    <row r="30" spans="1:10" ht="78.75" thickBot="1">
      <c r="A30" s="210">
        <v>31155</v>
      </c>
      <c r="B30" s="211" t="s">
        <v>505</v>
      </c>
      <c r="C30" s="211" t="s">
        <v>501</v>
      </c>
      <c r="D30" s="211" t="s">
        <v>437</v>
      </c>
      <c r="E30" s="211" t="s">
        <v>540</v>
      </c>
      <c r="F30" s="211" t="s">
        <v>502</v>
      </c>
      <c r="G30" s="211" t="s">
        <v>503</v>
      </c>
      <c r="H30" s="211">
        <v>400000</v>
      </c>
      <c r="I30" s="211">
        <v>0</v>
      </c>
      <c r="J30" s="219">
        <f t="shared" si="0"/>
        <v>4</v>
      </c>
    </row>
    <row r="31" spans="1:10" ht="78.75" thickBot="1">
      <c r="A31" s="207">
        <v>31155</v>
      </c>
      <c r="B31" s="208" t="s">
        <v>505</v>
      </c>
      <c r="C31" s="208" t="s">
        <v>501</v>
      </c>
      <c r="D31" s="208" t="s">
        <v>541</v>
      </c>
      <c r="E31" s="208" t="s">
        <v>542</v>
      </c>
      <c r="F31" s="208" t="s">
        <v>502</v>
      </c>
      <c r="G31" s="208" t="s">
        <v>503</v>
      </c>
      <c r="H31" s="208">
        <v>500000</v>
      </c>
      <c r="I31" s="208">
        <v>0</v>
      </c>
      <c r="J31" s="219">
        <f t="shared" si="0"/>
        <v>5</v>
      </c>
    </row>
    <row r="32" spans="1:10" ht="78.75" thickBot="1">
      <c r="A32" s="210">
        <v>31155</v>
      </c>
      <c r="B32" s="211" t="s">
        <v>505</v>
      </c>
      <c r="C32" s="211" t="s">
        <v>501</v>
      </c>
      <c r="D32" s="211" t="s">
        <v>419</v>
      </c>
      <c r="E32" s="211" t="s">
        <v>540</v>
      </c>
      <c r="F32" s="211" t="s">
        <v>502</v>
      </c>
      <c r="G32" s="211" t="s">
        <v>503</v>
      </c>
      <c r="H32" s="211">
        <v>1200000</v>
      </c>
      <c r="I32" s="211">
        <v>0</v>
      </c>
      <c r="J32" s="219">
        <f t="shared" si="0"/>
        <v>12</v>
      </c>
    </row>
    <row r="33" spans="1:10" ht="78.75" thickBot="1">
      <c r="A33" s="207">
        <v>31155</v>
      </c>
      <c r="B33" s="208" t="s">
        <v>505</v>
      </c>
      <c r="C33" s="208" t="s">
        <v>501</v>
      </c>
      <c r="D33" s="208" t="s">
        <v>443</v>
      </c>
      <c r="E33" s="208" t="s">
        <v>540</v>
      </c>
      <c r="F33" s="208" t="s">
        <v>502</v>
      </c>
      <c r="G33" s="208" t="s">
        <v>503</v>
      </c>
      <c r="H33" s="208">
        <v>400000</v>
      </c>
      <c r="I33" s="208">
        <v>0</v>
      </c>
      <c r="J33" s="219">
        <f t="shared" si="0"/>
        <v>4</v>
      </c>
    </row>
    <row r="34" spans="1:10" ht="78.75" thickBot="1">
      <c r="A34" s="210">
        <v>31155</v>
      </c>
      <c r="B34" s="211" t="s">
        <v>505</v>
      </c>
      <c r="C34" s="211" t="s">
        <v>501</v>
      </c>
      <c r="D34" s="211" t="s">
        <v>449</v>
      </c>
      <c r="E34" s="211" t="s">
        <v>540</v>
      </c>
      <c r="F34" s="211" t="s">
        <v>502</v>
      </c>
      <c r="G34" s="211" t="s">
        <v>503</v>
      </c>
      <c r="H34" s="211">
        <v>600000</v>
      </c>
      <c r="I34" s="211">
        <v>0</v>
      </c>
      <c r="J34" s="219">
        <f t="shared" si="0"/>
        <v>6</v>
      </c>
    </row>
    <row r="35" spans="1:10" ht="78.75" thickBot="1">
      <c r="A35" s="207">
        <v>31155</v>
      </c>
      <c r="B35" s="208" t="s">
        <v>505</v>
      </c>
      <c r="C35" s="208" t="s">
        <v>501</v>
      </c>
      <c r="D35" s="208" t="s">
        <v>303</v>
      </c>
      <c r="E35" s="208" t="s">
        <v>543</v>
      </c>
      <c r="F35" s="208" t="s">
        <v>502</v>
      </c>
      <c r="G35" s="208" t="s">
        <v>503</v>
      </c>
      <c r="H35" s="208">
        <v>2000000</v>
      </c>
      <c r="I35" s="208">
        <v>0</v>
      </c>
      <c r="J35" s="219">
        <f t="shared" si="0"/>
        <v>20</v>
      </c>
    </row>
    <row r="36" spans="1:10" ht="78.75" thickBot="1">
      <c r="A36" s="210">
        <v>31155</v>
      </c>
      <c r="B36" s="211" t="s">
        <v>505</v>
      </c>
      <c r="C36" s="211" t="s">
        <v>501</v>
      </c>
      <c r="D36" s="211" t="s">
        <v>325</v>
      </c>
      <c r="E36" s="211" t="s">
        <v>544</v>
      </c>
      <c r="F36" s="211" t="s">
        <v>502</v>
      </c>
      <c r="G36" s="211" t="s">
        <v>503</v>
      </c>
      <c r="H36" s="211">
        <v>2000000</v>
      </c>
      <c r="I36" s="211">
        <v>0</v>
      </c>
      <c r="J36" s="219">
        <f t="shared" si="0"/>
        <v>20</v>
      </c>
    </row>
    <row r="37" spans="1:10" ht="78.75" thickBot="1">
      <c r="A37" s="207">
        <v>31155</v>
      </c>
      <c r="B37" s="208" t="s">
        <v>505</v>
      </c>
      <c r="C37" s="208" t="s">
        <v>501</v>
      </c>
      <c r="D37" s="208" t="s">
        <v>349</v>
      </c>
      <c r="E37" s="208" t="s">
        <v>545</v>
      </c>
      <c r="F37" s="208" t="s">
        <v>502</v>
      </c>
      <c r="G37" s="208" t="s">
        <v>503</v>
      </c>
      <c r="H37" s="208">
        <v>100000</v>
      </c>
      <c r="I37" s="208">
        <v>0</v>
      </c>
      <c r="J37" s="219">
        <f t="shared" si="0"/>
        <v>1</v>
      </c>
    </row>
    <row r="38" spans="1:10" ht="78.75" thickBot="1">
      <c r="A38" s="210">
        <v>31155</v>
      </c>
      <c r="B38" s="211" t="s">
        <v>505</v>
      </c>
      <c r="C38" s="211" t="s">
        <v>501</v>
      </c>
      <c r="D38" s="211" t="s">
        <v>359</v>
      </c>
      <c r="E38" s="211" t="s">
        <v>546</v>
      </c>
      <c r="F38" s="211" t="s">
        <v>502</v>
      </c>
      <c r="G38" s="211" t="s">
        <v>503</v>
      </c>
      <c r="H38" s="211">
        <v>500000</v>
      </c>
      <c r="I38" s="211">
        <v>0</v>
      </c>
      <c r="J38" s="219">
        <f t="shared" si="0"/>
        <v>5</v>
      </c>
    </row>
    <row r="39" spans="1:10" ht="78.75" thickBot="1">
      <c r="A39" s="207">
        <v>31155</v>
      </c>
      <c r="B39" s="208" t="s">
        <v>505</v>
      </c>
      <c r="C39" s="208" t="s">
        <v>501</v>
      </c>
      <c r="D39" s="208" t="s">
        <v>367</v>
      </c>
      <c r="E39" s="208" t="s">
        <v>547</v>
      </c>
      <c r="F39" s="208" t="s">
        <v>502</v>
      </c>
      <c r="G39" s="208" t="s">
        <v>503</v>
      </c>
      <c r="H39" s="208">
        <v>350000</v>
      </c>
      <c r="I39" s="208">
        <v>0</v>
      </c>
      <c r="J39" s="219">
        <f t="shared" si="0"/>
        <v>3.5</v>
      </c>
    </row>
    <row r="40" spans="1:10" ht="78.75" thickBot="1">
      <c r="A40" s="210">
        <v>31155</v>
      </c>
      <c r="B40" s="211" t="s">
        <v>505</v>
      </c>
      <c r="C40" s="211" t="s">
        <v>501</v>
      </c>
      <c r="D40" s="211" t="s">
        <v>385</v>
      </c>
      <c r="E40" s="211" t="s">
        <v>548</v>
      </c>
      <c r="F40" s="211" t="s">
        <v>502</v>
      </c>
      <c r="G40" s="211" t="s">
        <v>503</v>
      </c>
      <c r="H40" s="211">
        <v>0</v>
      </c>
      <c r="I40" s="211">
        <v>0</v>
      </c>
      <c r="J40" s="219">
        <f t="shared" si="0"/>
        <v>0</v>
      </c>
    </row>
    <row r="41" spans="1:10" ht="78.75" thickBot="1">
      <c r="A41" s="207">
        <v>31155</v>
      </c>
      <c r="B41" s="208" t="s">
        <v>505</v>
      </c>
      <c r="C41" s="208" t="s">
        <v>501</v>
      </c>
      <c r="D41" s="208" t="s">
        <v>446</v>
      </c>
      <c r="E41" s="208" t="s">
        <v>540</v>
      </c>
      <c r="F41" s="208" t="s">
        <v>502</v>
      </c>
      <c r="G41" s="208" t="s">
        <v>503</v>
      </c>
      <c r="H41" s="208">
        <v>1900000</v>
      </c>
      <c r="I41" s="208">
        <v>0</v>
      </c>
      <c r="J41" s="219">
        <f t="shared" si="0"/>
        <v>19</v>
      </c>
    </row>
    <row r="42" spans="1:10" ht="78.75" thickBot="1">
      <c r="A42" s="210">
        <v>31155</v>
      </c>
      <c r="B42" s="211" t="s">
        <v>505</v>
      </c>
      <c r="C42" s="211" t="s">
        <v>501</v>
      </c>
      <c r="D42" s="211" t="s">
        <v>309</v>
      </c>
      <c r="E42" s="211" t="s">
        <v>549</v>
      </c>
      <c r="F42" s="211" t="s">
        <v>502</v>
      </c>
      <c r="G42" s="211" t="s">
        <v>503</v>
      </c>
      <c r="H42" s="211">
        <v>10000000</v>
      </c>
      <c r="I42" s="211">
        <v>0</v>
      </c>
      <c r="J42" s="219">
        <f t="shared" si="0"/>
        <v>100</v>
      </c>
    </row>
    <row r="43" spans="1:10" ht="78.75" thickBot="1">
      <c r="A43" s="207">
        <v>31155</v>
      </c>
      <c r="B43" s="208" t="s">
        <v>505</v>
      </c>
      <c r="C43" s="208" t="s">
        <v>501</v>
      </c>
      <c r="D43" s="208" t="s">
        <v>311</v>
      </c>
      <c r="E43" s="208" t="s">
        <v>550</v>
      </c>
      <c r="F43" s="208" t="s">
        <v>502</v>
      </c>
      <c r="G43" s="208" t="s">
        <v>503</v>
      </c>
      <c r="H43" s="208">
        <v>100000</v>
      </c>
      <c r="I43" s="208">
        <v>0</v>
      </c>
      <c r="J43" s="219">
        <f t="shared" si="0"/>
        <v>1</v>
      </c>
    </row>
    <row r="44" spans="1:10" ht="78.75" thickBot="1">
      <c r="A44" s="210">
        <v>31155</v>
      </c>
      <c r="B44" s="211" t="s">
        <v>505</v>
      </c>
      <c r="C44" s="211" t="s">
        <v>501</v>
      </c>
      <c r="D44" s="211" t="s">
        <v>313</v>
      </c>
      <c r="E44" s="211" t="s">
        <v>551</v>
      </c>
      <c r="F44" s="211" t="s">
        <v>502</v>
      </c>
      <c r="G44" s="211" t="s">
        <v>503</v>
      </c>
      <c r="H44" s="211">
        <v>100000</v>
      </c>
      <c r="I44" s="211">
        <v>0</v>
      </c>
      <c r="J44" s="219">
        <f t="shared" si="0"/>
        <v>1</v>
      </c>
    </row>
    <row r="45" spans="1:10" ht="78.75" thickBot="1">
      <c r="A45" s="207">
        <v>31155</v>
      </c>
      <c r="B45" s="208" t="s">
        <v>505</v>
      </c>
      <c r="C45" s="208" t="s">
        <v>501</v>
      </c>
      <c r="D45" s="208" t="s">
        <v>315</v>
      </c>
      <c r="E45" s="208" t="s">
        <v>552</v>
      </c>
      <c r="F45" s="208" t="s">
        <v>502</v>
      </c>
      <c r="G45" s="208" t="s">
        <v>503</v>
      </c>
      <c r="H45" s="208">
        <v>100000</v>
      </c>
      <c r="I45" s="208">
        <v>0</v>
      </c>
      <c r="J45" s="219">
        <f t="shared" si="0"/>
        <v>1</v>
      </c>
    </row>
    <row r="46" spans="1:10" ht="78.75" thickBot="1">
      <c r="A46" s="210">
        <v>31155</v>
      </c>
      <c r="B46" s="211" t="s">
        <v>505</v>
      </c>
      <c r="C46" s="211" t="s">
        <v>501</v>
      </c>
      <c r="D46" s="211" t="s">
        <v>351</v>
      </c>
      <c r="E46" s="211" t="s">
        <v>553</v>
      </c>
      <c r="F46" s="211" t="s">
        <v>502</v>
      </c>
      <c r="G46" s="211" t="s">
        <v>503</v>
      </c>
      <c r="H46" s="211">
        <v>555000</v>
      </c>
      <c r="I46" s="211">
        <v>0</v>
      </c>
      <c r="J46" s="219">
        <f t="shared" si="0"/>
        <v>5.55</v>
      </c>
    </row>
    <row r="47" spans="1:10" ht="78.75" thickBot="1">
      <c r="A47" s="207">
        <v>31155</v>
      </c>
      <c r="B47" s="208" t="s">
        <v>505</v>
      </c>
      <c r="C47" s="208" t="s">
        <v>501</v>
      </c>
      <c r="D47" s="208" t="s">
        <v>277</v>
      </c>
      <c r="E47" s="208" t="s">
        <v>554</v>
      </c>
      <c r="F47" s="208" t="s">
        <v>502</v>
      </c>
      <c r="G47" s="208" t="s">
        <v>503</v>
      </c>
      <c r="H47" s="208">
        <v>100000</v>
      </c>
      <c r="I47" s="208">
        <v>0</v>
      </c>
      <c r="J47" s="219">
        <f t="shared" si="0"/>
        <v>1</v>
      </c>
    </row>
    <row r="48" spans="1:10" ht="78.75" thickBot="1">
      <c r="A48" s="210">
        <v>31155</v>
      </c>
      <c r="B48" s="211" t="s">
        <v>505</v>
      </c>
      <c r="C48" s="211" t="s">
        <v>501</v>
      </c>
      <c r="D48" s="211" t="s">
        <v>319</v>
      </c>
      <c r="E48" s="211" t="s">
        <v>555</v>
      </c>
      <c r="F48" s="211" t="s">
        <v>502</v>
      </c>
      <c r="G48" s="211" t="s">
        <v>503</v>
      </c>
      <c r="H48" s="211">
        <v>100000</v>
      </c>
      <c r="I48" s="211">
        <v>0</v>
      </c>
      <c r="J48" s="219">
        <f t="shared" si="0"/>
        <v>1</v>
      </c>
    </row>
    <row r="49" spans="1:10" ht="78.75" thickBot="1">
      <c r="A49" s="207">
        <v>31155</v>
      </c>
      <c r="B49" s="208" t="s">
        <v>505</v>
      </c>
      <c r="C49" s="208" t="s">
        <v>501</v>
      </c>
      <c r="D49" s="208" t="s">
        <v>329</v>
      </c>
      <c r="E49" s="208" t="s">
        <v>556</v>
      </c>
      <c r="F49" s="208" t="s">
        <v>502</v>
      </c>
      <c r="G49" s="208" t="s">
        <v>503</v>
      </c>
      <c r="H49" s="208">
        <v>50000</v>
      </c>
      <c r="I49" s="208">
        <v>0</v>
      </c>
      <c r="J49" s="219">
        <f t="shared" si="0"/>
        <v>0.5</v>
      </c>
    </row>
    <row r="50" spans="1:10" ht="78.75" thickBot="1">
      <c r="A50" s="210">
        <v>31155</v>
      </c>
      <c r="B50" s="211" t="s">
        <v>505</v>
      </c>
      <c r="C50" s="211" t="s">
        <v>501</v>
      </c>
      <c r="D50" s="211" t="s">
        <v>391</v>
      </c>
      <c r="E50" s="211" t="s">
        <v>557</v>
      </c>
      <c r="F50" s="211" t="s">
        <v>502</v>
      </c>
      <c r="G50" s="211" t="s">
        <v>503</v>
      </c>
      <c r="H50" s="211">
        <v>600000</v>
      </c>
      <c r="I50" s="211">
        <v>0</v>
      </c>
      <c r="J50" s="219">
        <f t="shared" si="0"/>
        <v>6</v>
      </c>
    </row>
    <row r="51" spans="1:10" ht="78.75" thickBot="1">
      <c r="A51" s="207">
        <v>31155</v>
      </c>
      <c r="B51" s="208" t="s">
        <v>505</v>
      </c>
      <c r="C51" s="208" t="s">
        <v>501</v>
      </c>
      <c r="D51" s="208" t="s">
        <v>393</v>
      </c>
      <c r="E51" s="208" t="s">
        <v>558</v>
      </c>
      <c r="F51" s="208" t="s">
        <v>502</v>
      </c>
      <c r="G51" s="208" t="s">
        <v>503</v>
      </c>
      <c r="H51" s="208">
        <v>50000</v>
      </c>
      <c r="I51" s="208">
        <v>0</v>
      </c>
      <c r="J51" s="219">
        <f t="shared" si="0"/>
        <v>0.5</v>
      </c>
    </row>
    <row r="52" spans="1:10" ht="78.75" thickBot="1">
      <c r="A52" s="210">
        <v>31155</v>
      </c>
      <c r="B52" s="211" t="s">
        <v>505</v>
      </c>
      <c r="C52" s="211" t="s">
        <v>501</v>
      </c>
      <c r="D52" s="211" t="s">
        <v>559</v>
      </c>
      <c r="E52" s="211" t="s">
        <v>560</v>
      </c>
      <c r="F52" s="211" t="s">
        <v>502</v>
      </c>
      <c r="G52" s="211" t="s">
        <v>503</v>
      </c>
      <c r="H52" s="211">
        <v>500000</v>
      </c>
      <c r="I52" s="211">
        <v>0</v>
      </c>
      <c r="J52" s="219">
        <f t="shared" si="0"/>
        <v>5</v>
      </c>
    </row>
    <row r="53" spans="1:10" ht="78.75" thickBot="1">
      <c r="A53" s="207">
        <v>31155</v>
      </c>
      <c r="B53" s="208" t="s">
        <v>505</v>
      </c>
      <c r="C53" s="208" t="s">
        <v>501</v>
      </c>
      <c r="D53" s="208" t="s">
        <v>257</v>
      </c>
      <c r="E53" s="208" t="s">
        <v>561</v>
      </c>
      <c r="F53" s="208" t="s">
        <v>502</v>
      </c>
      <c r="G53" s="208" t="s">
        <v>503</v>
      </c>
      <c r="H53" s="208">
        <v>7600000</v>
      </c>
      <c r="I53" s="208">
        <v>0</v>
      </c>
      <c r="J53" s="219">
        <f t="shared" si="0"/>
        <v>76</v>
      </c>
    </row>
    <row r="54" spans="1:10" ht="78.75" thickBot="1">
      <c r="A54" s="210">
        <v>31155</v>
      </c>
      <c r="B54" s="211" t="s">
        <v>505</v>
      </c>
      <c r="C54" s="211" t="s">
        <v>501</v>
      </c>
      <c r="D54" s="211" t="s">
        <v>363</v>
      </c>
      <c r="E54" s="211" t="s">
        <v>562</v>
      </c>
      <c r="F54" s="211" t="s">
        <v>502</v>
      </c>
      <c r="G54" s="211" t="s">
        <v>503</v>
      </c>
      <c r="H54" s="211">
        <v>500000</v>
      </c>
      <c r="I54" s="211">
        <v>0</v>
      </c>
      <c r="J54" s="219">
        <f t="shared" si="0"/>
        <v>5</v>
      </c>
    </row>
    <row r="55" spans="1:10" ht="78.75" thickBot="1">
      <c r="A55" s="207">
        <v>31155</v>
      </c>
      <c r="B55" s="208" t="s">
        <v>505</v>
      </c>
      <c r="C55" s="208" t="s">
        <v>501</v>
      </c>
      <c r="D55" s="208" t="s">
        <v>371</v>
      </c>
      <c r="E55" s="208" t="s">
        <v>563</v>
      </c>
      <c r="F55" s="208" t="s">
        <v>502</v>
      </c>
      <c r="G55" s="208" t="s">
        <v>503</v>
      </c>
      <c r="H55" s="208">
        <v>200000</v>
      </c>
      <c r="I55" s="208">
        <v>0</v>
      </c>
      <c r="J55" s="219">
        <f t="shared" si="0"/>
        <v>2</v>
      </c>
    </row>
    <row r="56" spans="1:10" ht="78.75" thickBot="1">
      <c r="A56" s="210">
        <v>31155</v>
      </c>
      <c r="B56" s="211" t="s">
        <v>505</v>
      </c>
      <c r="C56" s="211" t="s">
        <v>501</v>
      </c>
      <c r="D56" s="211" t="s">
        <v>564</v>
      </c>
      <c r="E56" s="211" t="s">
        <v>565</v>
      </c>
      <c r="F56" s="211" t="s">
        <v>502</v>
      </c>
      <c r="G56" s="211" t="s">
        <v>503</v>
      </c>
      <c r="H56" s="211">
        <v>7500000</v>
      </c>
      <c r="I56" s="211">
        <v>0</v>
      </c>
      <c r="J56" s="219">
        <f t="shared" si="0"/>
        <v>75</v>
      </c>
    </row>
    <row r="57" spans="1:10" ht="78.75" thickBot="1">
      <c r="A57" s="207">
        <v>31155</v>
      </c>
      <c r="B57" s="208" t="s">
        <v>505</v>
      </c>
      <c r="C57" s="208" t="s">
        <v>501</v>
      </c>
      <c r="D57" s="208" t="s">
        <v>434</v>
      </c>
      <c r="E57" s="208" t="s">
        <v>540</v>
      </c>
      <c r="F57" s="208" t="s">
        <v>502</v>
      </c>
      <c r="G57" s="208" t="s">
        <v>503</v>
      </c>
      <c r="H57" s="208">
        <v>400000</v>
      </c>
      <c r="I57" s="208">
        <v>0</v>
      </c>
      <c r="J57" s="219">
        <f t="shared" si="0"/>
        <v>4</v>
      </c>
    </row>
    <row r="58" spans="1:10" ht="78.75" thickBot="1">
      <c r="A58" s="210">
        <v>31155</v>
      </c>
      <c r="B58" s="211" t="s">
        <v>505</v>
      </c>
      <c r="C58" s="211" t="s">
        <v>501</v>
      </c>
      <c r="D58" s="211" t="s">
        <v>566</v>
      </c>
      <c r="E58" s="211" t="s">
        <v>567</v>
      </c>
      <c r="F58" s="211" t="s">
        <v>502</v>
      </c>
      <c r="G58" s="211" t="s">
        <v>503</v>
      </c>
      <c r="H58" s="211">
        <v>100000</v>
      </c>
      <c r="I58" s="211">
        <v>0</v>
      </c>
      <c r="J58" s="219">
        <f t="shared" si="0"/>
        <v>1</v>
      </c>
    </row>
    <row r="59" spans="1:10" ht="78.75" thickBot="1">
      <c r="A59" s="207">
        <v>31155</v>
      </c>
      <c r="B59" s="208" t="s">
        <v>505</v>
      </c>
      <c r="C59" s="208" t="s">
        <v>501</v>
      </c>
      <c r="D59" s="208" t="s">
        <v>281</v>
      </c>
      <c r="E59" s="208" t="s">
        <v>568</v>
      </c>
      <c r="F59" s="208" t="s">
        <v>502</v>
      </c>
      <c r="G59" s="208" t="s">
        <v>503</v>
      </c>
      <c r="H59" s="208">
        <v>1200000</v>
      </c>
      <c r="I59" s="208">
        <v>0</v>
      </c>
      <c r="J59" s="219">
        <f t="shared" si="0"/>
        <v>12</v>
      </c>
    </row>
    <row r="60" spans="1:10" ht="78.75" thickBot="1">
      <c r="A60" s="210">
        <v>31155</v>
      </c>
      <c r="B60" s="211" t="s">
        <v>505</v>
      </c>
      <c r="C60" s="211" t="s">
        <v>501</v>
      </c>
      <c r="D60" s="211" t="s">
        <v>291</v>
      </c>
      <c r="E60" s="211" t="s">
        <v>569</v>
      </c>
      <c r="F60" s="211" t="s">
        <v>502</v>
      </c>
      <c r="G60" s="211" t="s">
        <v>503</v>
      </c>
      <c r="H60" s="211">
        <v>500000</v>
      </c>
      <c r="I60" s="211">
        <v>0</v>
      </c>
      <c r="J60" s="219">
        <f t="shared" si="0"/>
        <v>5</v>
      </c>
    </row>
    <row r="61" spans="1:10" ht="78.75" thickBot="1">
      <c r="A61" s="207">
        <v>31155</v>
      </c>
      <c r="B61" s="208" t="s">
        <v>505</v>
      </c>
      <c r="C61" s="208" t="s">
        <v>501</v>
      </c>
      <c r="D61" s="208" t="s">
        <v>301</v>
      </c>
      <c r="E61" s="208" t="s">
        <v>570</v>
      </c>
      <c r="F61" s="208" t="s">
        <v>502</v>
      </c>
      <c r="G61" s="208" t="s">
        <v>503</v>
      </c>
      <c r="H61" s="208">
        <v>3000000</v>
      </c>
      <c r="I61" s="208">
        <v>0</v>
      </c>
      <c r="J61" s="219">
        <f t="shared" si="0"/>
        <v>30</v>
      </c>
    </row>
    <row r="62" spans="1:10" ht="78.75" thickBot="1">
      <c r="A62" s="210">
        <v>31155</v>
      </c>
      <c r="B62" s="211" t="s">
        <v>505</v>
      </c>
      <c r="C62" s="211" t="s">
        <v>501</v>
      </c>
      <c r="D62" s="211" t="s">
        <v>305</v>
      </c>
      <c r="E62" s="211" t="s">
        <v>571</v>
      </c>
      <c r="F62" s="211" t="s">
        <v>502</v>
      </c>
      <c r="G62" s="211" t="s">
        <v>503</v>
      </c>
      <c r="H62" s="211">
        <v>500000</v>
      </c>
      <c r="I62" s="211">
        <v>0</v>
      </c>
      <c r="J62" s="219">
        <f t="shared" si="0"/>
        <v>5</v>
      </c>
    </row>
    <row r="63" spans="1:10" ht="78.75" thickBot="1">
      <c r="A63" s="207">
        <v>31155</v>
      </c>
      <c r="B63" s="208" t="s">
        <v>505</v>
      </c>
      <c r="C63" s="208" t="s">
        <v>501</v>
      </c>
      <c r="D63" s="208" t="s">
        <v>333</v>
      </c>
      <c r="E63" s="208" t="s">
        <v>572</v>
      </c>
      <c r="F63" s="208" t="s">
        <v>502</v>
      </c>
      <c r="G63" s="208" t="s">
        <v>503</v>
      </c>
      <c r="H63" s="208">
        <v>50000</v>
      </c>
      <c r="I63" s="208">
        <v>0</v>
      </c>
      <c r="J63" s="219">
        <f t="shared" si="0"/>
        <v>0.5</v>
      </c>
    </row>
    <row r="64" spans="1:10" ht="78.75" thickBot="1">
      <c r="A64" s="210">
        <v>31155</v>
      </c>
      <c r="B64" s="211" t="s">
        <v>505</v>
      </c>
      <c r="C64" s="211" t="s">
        <v>501</v>
      </c>
      <c r="D64" s="211" t="s">
        <v>339</v>
      </c>
      <c r="E64" s="211" t="s">
        <v>573</v>
      </c>
      <c r="F64" s="211" t="s">
        <v>502</v>
      </c>
      <c r="G64" s="211" t="s">
        <v>503</v>
      </c>
      <c r="H64" s="211">
        <v>385000</v>
      </c>
      <c r="I64" s="211">
        <v>0</v>
      </c>
      <c r="J64" s="219">
        <f t="shared" si="0"/>
        <v>3.85</v>
      </c>
    </row>
    <row r="65" spans="1:10" ht="78.75" thickBot="1">
      <c r="A65" s="207">
        <v>31155</v>
      </c>
      <c r="B65" s="208" t="s">
        <v>505</v>
      </c>
      <c r="C65" s="208" t="s">
        <v>501</v>
      </c>
      <c r="D65" s="208" t="s">
        <v>347</v>
      </c>
      <c r="E65" s="208" t="s">
        <v>574</v>
      </c>
      <c r="F65" s="208" t="s">
        <v>502</v>
      </c>
      <c r="G65" s="208" t="s">
        <v>503</v>
      </c>
      <c r="H65" s="208">
        <v>100000</v>
      </c>
      <c r="I65" s="208">
        <v>0</v>
      </c>
      <c r="J65" s="219">
        <f t="shared" si="0"/>
        <v>1</v>
      </c>
    </row>
    <row r="66" spans="1:10" ht="78.75" thickBot="1">
      <c r="A66" s="210">
        <v>31155</v>
      </c>
      <c r="B66" s="211" t="s">
        <v>505</v>
      </c>
      <c r="C66" s="211" t="s">
        <v>501</v>
      </c>
      <c r="D66" s="211" t="s">
        <v>365</v>
      </c>
      <c r="E66" s="211" t="s">
        <v>575</v>
      </c>
      <c r="F66" s="211" t="s">
        <v>502</v>
      </c>
      <c r="G66" s="211" t="s">
        <v>503</v>
      </c>
      <c r="H66" s="211">
        <v>100000</v>
      </c>
      <c r="I66" s="211">
        <v>0</v>
      </c>
      <c r="J66" s="219">
        <f t="shared" ref="J66:J101" si="1">H66/100000</f>
        <v>1</v>
      </c>
    </row>
    <row r="67" spans="1:10" ht="78.75" thickBot="1">
      <c r="A67" s="207">
        <v>31155</v>
      </c>
      <c r="B67" s="208" t="s">
        <v>505</v>
      </c>
      <c r="C67" s="208" t="s">
        <v>501</v>
      </c>
      <c r="D67" s="208" t="s">
        <v>369</v>
      </c>
      <c r="E67" s="208" t="s">
        <v>576</v>
      </c>
      <c r="F67" s="208" t="s">
        <v>502</v>
      </c>
      <c r="G67" s="208" t="s">
        <v>503</v>
      </c>
      <c r="H67" s="208">
        <v>100000</v>
      </c>
      <c r="I67" s="208">
        <v>0</v>
      </c>
      <c r="J67" s="219">
        <f t="shared" si="1"/>
        <v>1</v>
      </c>
    </row>
    <row r="68" spans="1:10" ht="78.75" thickBot="1">
      <c r="A68" s="210">
        <v>31155</v>
      </c>
      <c r="B68" s="211" t="s">
        <v>505</v>
      </c>
      <c r="C68" s="211" t="s">
        <v>501</v>
      </c>
      <c r="D68" s="211" t="s">
        <v>377</v>
      </c>
      <c r="E68" s="211" t="s">
        <v>577</v>
      </c>
      <c r="F68" s="211" t="s">
        <v>502</v>
      </c>
      <c r="G68" s="211" t="s">
        <v>503</v>
      </c>
      <c r="H68" s="211">
        <v>100000</v>
      </c>
      <c r="I68" s="211">
        <v>0</v>
      </c>
      <c r="J68" s="219">
        <f t="shared" si="1"/>
        <v>1</v>
      </c>
    </row>
    <row r="69" spans="1:10" ht="78.75" thickBot="1">
      <c r="A69" s="207">
        <v>31155</v>
      </c>
      <c r="B69" s="208" t="s">
        <v>505</v>
      </c>
      <c r="C69" s="208" t="s">
        <v>501</v>
      </c>
      <c r="D69" s="208" t="s">
        <v>379</v>
      </c>
      <c r="E69" s="208" t="s">
        <v>578</v>
      </c>
      <c r="F69" s="208" t="s">
        <v>502</v>
      </c>
      <c r="G69" s="208" t="s">
        <v>503</v>
      </c>
      <c r="H69" s="208">
        <v>100000</v>
      </c>
      <c r="I69" s="208">
        <v>0</v>
      </c>
      <c r="J69" s="219">
        <f t="shared" si="1"/>
        <v>1</v>
      </c>
    </row>
    <row r="70" spans="1:10" ht="78.75" thickBot="1">
      <c r="A70" s="210">
        <v>31155</v>
      </c>
      <c r="B70" s="211" t="s">
        <v>505</v>
      </c>
      <c r="C70" s="211" t="s">
        <v>501</v>
      </c>
      <c r="D70" s="211" t="s">
        <v>383</v>
      </c>
      <c r="E70" s="211" t="s">
        <v>579</v>
      </c>
      <c r="F70" s="211" t="s">
        <v>502</v>
      </c>
      <c r="G70" s="211" t="s">
        <v>503</v>
      </c>
      <c r="H70" s="211">
        <v>0</v>
      </c>
      <c r="I70" s="211">
        <v>0</v>
      </c>
      <c r="J70" s="219">
        <f t="shared" si="1"/>
        <v>0</v>
      </c>
    </row>
    <row r="71" spans="1:10" ht="78.75" thickBot="1">
      <c r="A71" s="207">
        <v>31155</v>
      </c>
      <c r="B71" s="208" t="s">
        <v>505</v>
      </c>
      <c r="C71" s="208" t="s">
        <v>501</v>
      </c>
      <c r="D71" s="208" t="s">
        <v>216</v>
      </c>
      <c r="E71" s="208" t="s">
        <v>580</v>
      </c>
      <c r="F71" s="208" t="s">
        <v>502</v>
      </c>
      <c r="G71" s="208" t="s">
        <v>503</v>
      </c>
      <c r="H71" s="208">
        <v>200000</v>
      </c>
      <c r="I71" s="208">
        <v>0</v>
      </c>
      <c r="J71" s="219">
        <f t="shared" si="1"/>
        <v>2</v>
      </c>
    </row>
    <row r="72" spans="1:10" ht="78.75" thickBot="1">
      <c r="A72" s="210">
        <v>31155</v>
      </c>
      <c r="B72" s="211" t="s">
        <v>505</v>
      </c>
      <c r="C72" s="211" t="s">
        <v>501</v>
      </c>
      <c r="D72" s="211" t="s">
        <v>273</v>
      </c>
      <c r="E72" s="211" t="s">
        <v>581</v>
      </c>
      <c r="F72" s="211" t="s">
        <v>502</v>
      </c>
      <c r="G72" s="211" t="s">
        <v>503</v>
      </c>
      <c r="H72" s="211">
        <v>1200000</v>
      </c>
      <c r="I72" s="211">
        <v>0</v>
      </c>
      <c r="J72" s="219">
        <f t="shared" si="1"/>
        <v>12</v>
      </c>
    </row>
    <row r="73" spans="1:10" ht="78.75" thickBot="1">
      <c r="A73" s="207">
        <v>31155</v>
      </c>
      <c r="B73" s="208" t="s">
        <v>505</v>
      </c>
      <c r="C73" s="208" t="s">
        <v>501</v>
      </c>
      <c r="D73" s="208" t="s">
        <v>289</v>
      </c>
      <c r="E73" s="208" t="s">
        <v>582</v>
      </c>
      <c r="F73" s="208" t="s">
        <v>502</v>
      </c>
      <c r="G73" s="208" t="s">
        <v>503</v>
      </c>
      <c r="H73" s="208">
        <v>450000</v>
      </c>
      <c r="I73" s="208">
        <v>0</v>
      </c>
      <c r="J73" s="219">
        <f t="shared" si="1"/>
        <v>4.5</v>
      </c>
    </row>
    <row r="74" spans="1:10" ht="78.75" thickBot="1">
      <c r="A74" s="210">
        <v>31155</v>
      </c>
      <c r="B74" s="211" t="s">
        <v>505</v>
      </c>
      <c r="C74" s="211" t="s">
        <v>501</v>
      </c>
      <c r="D74" s="211" t="s">
        <v>297</v>
      </c>
      <c r="E74" s="211" t="s">
        <v>583</v>
      </c>
      <c r="F74" s="211" t="s">
        <v>502</v>
      </c>
      <c r="G74" s="211" t="s">
        <v>503</v>
      </c>
      <c r="H74" s="211">
        <v>1500000</v>
      </c>
      <c r="I74" s="211">
        <v>0</v>
      </c>
      <c r="J74" s="219">
        <f t="shared" si="1"/>
        <v>15</v>
      </c>
    </row>
    <row r="75" spans="1:10" ht="78.75" thickBot="1">
      <c r="A75" s="207">
        <v>31155</v>
      </c>
      <c r="B75" s="208" t="s">
        <v>505</v>
      </c>
      <c r="C75" s="208" t="s">
        <v>501</v>
      </c>
      <c r="D75" s="208" t="s">
        <v>317</v>
      </c>
      <c r="E75" s="208" t="s">
        <v>584</v>
      </c>
      <c r="F75" s="208" t="s">
        <v>502</v>
      </c>
      <c r="G75" s="208" t="s">
        <v>503</v>
      </c>
      <c r="H75" s="208">
        <v>100000</v>
      </c>
      <c r="I75" s="208">
        <v>0</v>
      </c>
      <c r="J75" s="219">
        <f t="shared" si="1"/>
        <v>1</v>
      </c>
    </row>
    <row r="76" spans="1:10" ht="78.75" thickBot="1">
      <c r="A76" s="210">
        <v>31155</v>
      </c>
      <c r="B76" s="211" t="s">
        <v>505</v>
      </c>
      <c r="C76" s="211" t="s">
        <v>501</v>
      </c>
      <c r="D76" s="211" t="s">
        <v>321</v>
      </c>
      <c r="E76" s="211" t="s">
        <v>585</v>
      </c>
      <c r="F76" s="211" t="s">
        <v>502</v>
      </c>
      <c r="G76" s="211" t="s">
        <v>503</v>
      </c>
      <c r="H76" s="211">
        <v>3100000</v>
      </c>
      <c r="I76" s="211">
        <v>0</v>
      </c>
      <c r="J76" s="219">
        <f t="shared" si="1"/>
        <v>31</v>
      </c>
    </row>
    <row r="77" spans="1:10" ht="78.75" thickBot="1">
      <c r="A77" s="207">
        <v>31155</v>
      </c>
      <c r="B77" s="208" t="s">
        <v>505</v>
      </c>
      <c r="C77" s="208" t="s">
        <v>501</v>
      </c>
      <c r="D77" s="208" t="s">
        <v>355</v>
      </c>
      <c r="E77" s="208" t="s">
        <v>586</v>
      </c>
      <c r="F77" s="208" t="s">
        <v>502</v>
      </c>
      <c r="G77" s="208" t="s">
        <v>503</v>
      </c>
      <c r="H77" s="208">
        <v>100000</v>
      </c>
      <c r="I77" s="208">
        <v>0</v>
      </c>
      <c r="J77" s="219">
        <f t="shared" si="1"/>
        <v>1</v>
      </c>
    </row>
    <row r="78" spans="1:10" ht="78.75" thickBot="1">
      <c r="A78" s="210">
        <v>31155</v>
      </c>
      <c r="B78" s="211" t="s">
        <v>505</v>
      </c>
      <c r="C78" s="211" t="s">
        <v>501</v>
      </c>
      <c r="D78" s="211" t="s">
        <v>406</v>
      </c>
      <c r="E78" s="211" t="s">
        <v>540</v>
      </c>
      <c r="F78" s="211" t="s">
        <v>502</v>
      </c>
      <c r="G78" s="211" t="s">
        <v>503</v>
      </c>
      <c r="H78" s="211">
        <v>5000000</v>
      </c>
      <c r="I78" s="211">
        <v>0</v>
      </c>
      <c r="J78" s="219">
        <f t="shared" si="1"/>
        <v>50</v>
      </c>
    </row>
    <row r="79" spans="1:10" ht="78.75" thickBot="1">
      <c r="A79" s="207">
        <v>31155</v>
      </c>
      <c r="B79" s="208" t="s">
        <v>505</v>
      </c>
      <c r="C79" s="208" t="s">
        <v>501</v>
      </c>
      <c r="D79" s="208" t="s">
        <v>428</v>
      </c>
      <c r="E79" s="208" t="s">
        <v>540</v>
      </c>
      <c r="F79" s="208" t="s">
        <v>502</v>
      </c>
      <c r="G79" s="208" t="s">
        <v>503</v>
      </c>
      <c r="H79" s="208">
        <v>1200000</v>
      </c>
      <c r="I79" s="208">
        <v>0</v>
      </c>
      <c r="J79" s="219">
        <f t="shared" si="1"/>
        <v>12</v>
      </c>
    </row>
    <row r="80" spans="1:10" ht="78.75" thickBot="1">
      <c r="A80" s="210">
        <v>31155</v>
      </c>
      <c r="B80" s="211" t="s">
        <v>505</v>
      </c>
      <c r="C80" s="211" t="s">
        <v>501</v>
      </c>
      <c r="D80" s="211" t="s">
        <v>262</v>
      </c>
      <c r="E80" s="211" t="s">
        <v>561</v>
      </c>
      <c r="F80" s="211" t="s">
        <v>502</v>
      </c>
      <c r="G80" s="211" t="s">
        <v>503</v>
      </c>
      <c r="H80" s="211">
        <v>2700000</v>
      </c>
      <c r="I80" s="211">
        <v>0</v>
      </c>
      <c r="J80" s="219">
        <f t="shared" si="1"/>
        <v>27</v>
      </c>
    </row>
    <row r="81" spans="1:10" ht="78.75" thickBot="1">
      <c r="A81" s="207">
        <v>31155</v>
      </c>
      <c r="B81" s="208" t="s">
        <v>505</v>
      </c>
      <c r="C81" s="208" t="s">
        <v>501</v>
      </c>
      <c r="D81" s="208" t="s">
        <v>271</v>
      </c>
      <c r="E81" s="208" t="s">
        <v>587</v>
      </c>
      <c r="F81" s="208" t="s">
        <v>502</v>
      </c>
      <c r="G81" s="208" t="s">
        <v>503</v>
      </c>
      <c r="H81" s="208">
        <v>7500000</v>
      </c>
      <c r="I81" s="208">
        <v>0</v>
      </c>
      <c r="J81" s="219">
        <f t="shared" si="1"/>
        <v>75</v>
      </c>
    </row>
    <row r="82" spans="1:10" ht="78.75" thickBot="1">
      <c r="A82" s="210">
        <v>31155</v>
      </c>
      <c r="B82" s="211" t="s">
        <v>505</v>
      </c>
      <c r="C82" s="211" t="s">
        <v>501</v>
      </c>
      <c r="D82" s="211" t="s">
        <v>293</v>
      </c>
      <c r="E82" s="211" t="s">
        <v>588</v>
      </c>
      <c r="F82" s="211" t="s">
        <v>502</v>
      </c>
      <c r="G82" s="211" t="s">
        <v>503</v>
      </c>
      <c r="H82" s="211">
        <v>450000</v>
      </c>
      <c r="I82" s="211">
        <v>0</v>
      </c>
      <c r="J82" s="219">
        <f t="shared" si="1"/>
        <v>4.5</v>
      </c>
    </row>
    <row r="83" spans="1:10" ht="78.75" thickBot="1">
      <c r="A83" s="207">
        <v>31155</v>
      </c>
      <c r="B83" s="208" t="s">
        <v>505</v>
      </c>
      <c r="C83" s="208" t="s">
        <v>501</v>
      </c>
      <c r="D83" s="208" t="s">
        <v>327</v>
      </c>
      <c r="E83" s="208" t="s">
        <v>589</v>
      </c>
      <c r="F83" s="208" t="s">
        <v>502</v>
      </c>
      <c r="G83" s="208" t="s">
        <v>503</v>
      </c>
      <c r="H83" s="208">
        <v>100000</v>
      </c>
      <c r="I83" s="208">
        <v>0</v>
      </c>
      <c r="J83" s="219">
        <f t="shared" si="1"/>
        <v>1</v>
      </c>
    </row>
    <row r="84" spans="1:10" ht="78.75" thickBot="1">
      <c r="A84" s="210">
        <v>31155</v>
      </c>
      <c r="B84" s="211" t="s">
        <v>505</v>
      </c>
      <c r="C84" s="211" t="s">
        <v>501</v>
      </c>
      <c r="D84" s="211" t="s">
        <v>357</v>
      </c>
      <c r="E84" s="211" t="s">
        <v>590</v>
      </c>
      <c r="F84" s="211" t="s">
        <v>502</v>
      </c>
      <c r="G84" s="211" t="s">
        <v>503</v>
      </c>
      <c r="H84" s="211">
        <v>100000</v>
      </c>
      <c r="I84" s="211">
        <v>0</v>
      </c>
      <c r="J84" s="219">
        <f t="shared" si="1"/>
        <v>1</v>
      </c>
    </row>
    <row r="85" spans="1:10" ht="78.75" thickBot="1">
      <c r="A85" s="207">
        <v>31155</v>
      </c>
      <c r="B85" s="208" t="s">
        <v>505</v>
      </c>
      <c r="C85" s="208" t="s">
        <v>501</v>
      </c>
      <c r="D85" s="208" t="s">
        <v>381</v>
      </c>
      <c r="E85" s="208" t="s">
        <v>591</v>
      </c>
      <c r="F85" s="208" t="s">
        <v>502</v>
      </c>
      <c r="G85" s="208" t="s">
        <v>503</v>
      </c>
      <c r="H85" s="208">
        <v>250000</v>
      </c>
      <c r="I85" s="208">
        <v>0</v>
      </c>
      <c r="J85" s="219">
        <f t="shared" si="1"/>
        <v>2.5</v>
      </c>
    </row>
    <row r="86" spans="1:10" ht="78.75" thickBot="1">
      <c r="A86" s="210">
        <v>31155</v>
      </c>
      <c r="B86" s="211" t="s">
        <v>505</v>
      </c>
      <c r="C86" s="211" t="s">
        <v>501</v>
      </c>
      <c r="D86" s="211" t="s">
        <v>387</v>
      </c>
      <c r="E86" s="211" t="s">
        <v>592</v>
      </c>
      <c r="F86" s="211" t="s">
        <v>502</v>
      </c>
      <c r="G86" s="211" t="s">
        <v>503</v>
      </c>
      <c r="H86" s="211">
        <v>500000</v>
      </c>
      <c r="I86" s="211">
        <v>0</v>
      </c>
      <c r="J86" s="219">
        <f t="shared" si="1"/>
        <v>5</v>
      </c>
    </row>
    <row r="87" spans="1:10" ht="78.75" thickBot="1">
      <c r="A87" s="207">
        <v>31155</v>
      </c>
      <c r="B87" s="208" t="s">
        <v>505</v>
      </c>
      <c r="C87" s="208" t="s">
        <v>501</v>
      </c>
      <c r="D87" s="208" t="s">
        <v>593</v>
      </c>
      <c r="E87" s="208" t="s">
        <v>594</v>
      </c>
      <c r="F87" s="208" t="s">
        <v>502</v>
      </c>
      <c r="G87" s="208" t="s">
        <v>503</v>
      </c>
      <c r="H87" s="208">
        <v>500000</v>
      </c>
      <c r="I87" s="208">
        <v>0</v>
      </c>
      <c r="J87" s="219">
        <f t="shared" si="1"/>
        <v>5</v>
      </c>
    </row>
    <row r="88" spans="1:10" ht="78.75" thickBot="1">
      <c r="A88" s="210">
        <v>31155</v>
      </c>
      <c r="B88" s="211" t="s">
        <v>505</v>
      </c>
      <c r="C88" s="211" t="s">
        <v>501</v>
      </c>
      <c r="D88" s="211" t="s">
        <v>401</v>
      </c>
      <c r="E88" s="211" t="s">
        <v>595</v>
      </c>
      <c r="F88" s="211" t="s">
        <v>502</v>
      </c>
      <c r="G88" s="211" t="s">
        <v>503</v>
      </c>
      <c r="H88" s="211">
        <v>500000</v>
      </c>
      <c r="I88" s="211">
        <v>0</v>
      </c>
      <c r="J88" s="219">
        <f t="shared" si="1"/>
        <v>5</v>
      </c>
    </row>
    <row r="89" spans="1:10" ht="78.75" thickBot="1">
      <c r="A89" s="207">
        <v>31155</v>
      </c>
      <c r="B89" s="208" t="s">
        <v>505</v>
      </c>
      <c r="C89" s="208" t="s">
        <v>501</v>
      </c>
      <c r="D89" s="208" t="s">
        <v>422</v>
      </c>
      <c r="E89" s="208" t="s">
        <v>540</v>
      </c>
      <c r="F89" s="208" t="s">
        <v>502</v>
      </c>
      <c r="G89" s="208" t="s">
        <v>503</v>
      </c>
      <c r="H89" s="208">
        <v>600000</v>
      </c>
      <c r="I89" s="208">
        <v>0</v>
      </c>
      <c r="J89" s="219">
        <f t="shared" si="1"/>
        <v>6</v>
      </c>
    </row>
    <row r="90" spans="1:10" ht="78.75" thickBot="1">
      <c r="A90" s="210">
        <v>31155</v>
      </c>
      <c r="B90" s="211" t="s">
        <v>505</v>
      </c>
      <c r="C90" s="211" t="s">
        <v>501</v>
      </c>
      <c r="D90" s="211" t="s">
        <v>431</v>
      </c>
      <c r="E90" s="211" t="s">
        <v>540</v>
      </c>
      <c r="F90" s="211" t="s">
        <v>502</v>
      </c>
      <c r="G90" s="211" t="s">
        <v>503</v>
      </c>
      <c r="H90" s="211">
        <v>6000000</v>
      </c>
      <c r="I90" s="211">
        <v>0</v>
      </c>
      <c r="J90" s="219">
        <f t="shared" si="1"/>
        <v>60</v>
      </c>
    </row>
    <row r="91" spans="1:10" ht="78.75" thickBot="1">
      <c r="A91" s="207">
        <v>31155</v>
      </c>
      <c r="B91" s="208" t="s">
        <v>505</v>
      </c>
      <c r="C91" s="208" t="s">
        <v>501</v>
      </c>
      <c r="D91" s="208" t="s">
        <v>440</v>
      </c>
      <c r="E91" s="208" t="s">
        <v>540</v>
      </c>
      <c r="F91" s="208" t="s">
        <v>502</v>
      </c>
      <c r="G91" s="208" t="s">
        <v>503</v>
      </c>
      <c r="H91" s="208">
        <v>400000</v>
      </c>
      <c r="I91" s="208">
        <v>0</v>
      </c>
      <c r="J91" s="219">
        <f t="shared" si="1"/>
        <v>4</v>
      </c>
    </row>
    <row r="92" spans="1:10" ht="78.75" thickBot="1">
      <c r="A92" s="210">
        <v>31155</v>
      </c>
      <c r="B92" s="211" t="s">
        <v>505</v>
      </c>
      <c r="C92" s="211" t="s">
        <v>501</v>
      </c>
      <c r="D92" s="211" t="s">
        <v>389</v>
      </c>
      <c r="E92" s="211" t="s">
        <v>596</v>
      </c>
      <c r="F92" s="211" t="s">
        <v>502</v>
      </c>
      <c r="G92" s="211" t="s">
        <v>503</v>
      </c>
      <c r="H92" s="211">
        <v>2400000</v>
      </c>
      <c r="I92" s="211">
        <v>0</v>
      </c>
      <c r="J92" s="219">
        <f t="shared" si="1"/>
        <v>24</v>
      </c>
    </row>
    <row r="93" spans="1:10" ht="78.75" thickBot="1">
      <c r="A93" s="207">
        <v>31155</v>
      </c>
      <c r="B93" s="208" t="s">
        <v>505</v>
      </c>
      <c r="C93" s="208" t="s">
        <v>501</v>
      </c>
      <c r="D93" s="208" t="s">
        <v>450</v>
      </c>
      <c r="E93" s="208" t="s">
        <v>597</v>
      </c>
      <c r="F93" s="208" t="s">
        <v>502</v>
      </c>
      <c r="G93" s="208" t="s">
        <v>503</v>
      </c>
      <c r="H93" s="208">
        <v>400000</v>
      </c>
      <c r="I93" s="208">
        <v>0</v>
      </c>
      <c r="J93" s="219">
        <f t="shared" si="1"/>
        <v>4</v>
      </c>
    </row>
    <row r="94" spans="1:10" ht="78.75" thickBot="1">
      <c r="A94" s="210">
        <v>31155</v>
      </c>
      <c r="B94" s="211" t="s">
        <v>505</v>
      </c>
      <c r="C94" s="211" t="s">
        <v>501</v>
      </c>
      <c r="D94" s="211" t="s">
        <v>598</v>
      </c>
      <c r="E94" s="211" t="s">
        <v>599</v>
      </c>
      <c r="F94" s="211" t="s">
        <v>502</v>
      </c>
      <c r="G94" s="211" t="s">
        <v>503</v>
      </c>
      <c r="H94" s="211">
        <v>1000000</v>
      </c>
      <c r="I94" s="211">
        <v>0</v>
      </c>
      <c r="J94" s="219">
        <f t="shared" si="1"/>
        <v>10</v>
      </c>
    </row>
    <row r="95" spans="1:10" ht="78.75" thickBot="1">
      <c r="A95" s="212">
        <v>31155</v>
      </c>
      <c r="B95" s="213" t="s">
        <v>505</v>
      </c>
      <c r="C95" s="213" t="s">
        <v>501</v>
      </c>
      <c r="D95" s="213" t="s">
        <v>416</v>
      </c>
      <c r="E95" s="213" t="s">
        <v>540</v>
      </c>
      <c r="F95" s="213" t="s">
        <v>502</v>
      </c>
      <c r="G95" s="213" t="s">
        <v>503</v>
      </c>
      <c r="H95" s="213">
        <v>600000</v>
      </c>
      <c r="I95" s="213">
        <v>0</v>
      </c>
      <c r="J95" s="219">
        <f t="shared" si="1"/>
        <v>6</v>
      </c>
    </row>
    <row r="96" spans="1:10" ht="78.75" thickBot="1">
      <c r="A96" s="214">
        <v>31172</v>
      </c>
      <c r="B96" s="215" t="s">
        <v>506</v>
      </c>
      <c r="C96" s="215" t="s">
        <v>501</v>
      </c>
      <c r="D96" s="215" t="s">
        <v>600</v>
      </c>
      <c r="E96" s="215" t="s">
        <v>601</v>
      </c>
      <c r="F96" s="215" t="s">
        <v>502</v>
      </c>
      <c r="G96" s="215" t="s">
        <v>503</v>
      </c>
      <c r="H96" s="215">
        <v>1000000</v>
      </c>
      <c r="I96" s="215">
        <v>0</v>
      </c>
      <c r="J96" s="219">
        <f t="shared" si="1"/>
        <v>10</v>
      </c>
    </row>
    <row r="97" spans="1:10" ht="86.25">
      <c r="A97" s="216" t="s">
        <v>507</v>
      </c>
      <c r="J97" s="219">
        <f t="shared" si="1"/>
        <v>0</v>
      </c>
    </row>
    <row r="98" spans="1:10">
      <c r="A98" s="217" t="s">
        <v>508</v>
      </c>
      <c r="J98" s="219">
        <f t="shared" si="1"/>
        <v>0</v>
      </c>
    </row>
    <row r="99" spans="1:10">
      <c r="A99" s="217">
        <v>1</v>
      </c>
      <c r="J99" s="219">
        <f t="shared" si="1"/>
        <v>0</v>
      </c>
    </row>
    <row r="100" spans="1:10" ht="20.25" thickBot="1">
      <c r="A100" s="217" t="s">
        <v>509</v>
      </c>
      <c r="J100" s="219">
        <f t="shared" si="1"/>
        <v>0</v>
      </c>
    </row>
    <row r="101" spans="1:10" ht="172.5">
      <c r="A101" s="218" t="s">
        <v>510</v>
      </c>
      <c r="J101" s="219">
        <f t="shared" si="1"/>
        <v>0</v>
      </c>
    </row>
  </sheetData>
  <hyperlinks>
    <hyperlink ref="A98" r:id="rId1" display="https://cgas.fcgo.gov.np/" xr:uid="{00000000-0004-0000-1000-000000000000}"/>
    <hyperlink ref="A99" r:id="rId2" display="https://cgas.fcgo.gov.np/" xr:uid="{00000000-0004-0000-1000-000001000000}"/>
    <hyperlink ref="A100" r:id="rId3" display="https://cgas.fcgo.gov.np/" xr:uid="{00000000-0004-0000-1000-000002000000}"/>
  </hyperlink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6"/>
  <sheetViews>
    <sheetView workbookViewId="0">
      <selection activeCell="O23" sqref="O23"/>
    </sheetView>
  </sheetViews>
  <sheetFormatPr defaultRowHeight="12.75"/>
  <sheetData>
    <row r="1" spans="1:1">
      <c r="A1" s="177"/>
    </row>
    <row r="2" spans="1:1">
      <c r="A2" s="177"/>
    </row>
    <row r="3" spans="1:1">
      <c r="A3" s="177"/>
    </row>
    <row r="4" spans="1:1">
      <c r="A4" s="177"/>
    </row>
    <row r="5" spans="1:1">
      <c r="A5" s="177"/>
    </row>
    <row r="6" spans="1:1">
      <c r="A6" s="177"/>
    </row>
  </sheetData>
  <dataConsolidate/>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D771-03FE-40B2-ABB3-B5AB58263E4F}">
  <sheetPr>
    <tabColor rgb="FFFF0000"/>
    <pageSetUpPr fitToPage="1"/>
  </sheetPr>
  <dimension ref="A1:N227"/>
  <sheetViews>
    <sheetView view="pageBreakPreview" topLeftCell="A3" zoomScale="90" zoomScaleNormal="70" zoomScaleSheetLayoutView="90" workbookViewId="0">
      <selection activeCell="B19" sqref="B19:B20"/>
    </sheetView>
  </sheetViews>
  <sheetFormatPr defaultRowHeight="12.75"/>
  <cols>
    <col min="1" max="1" width="15.5703125" customWidth="1"/>
    <col min="2" max="2" width="48.42578125" customWidth="1"/>
    <col min="3" max="3" width="12.7109375" style="464" customWidth="1"/>
    <col min="4" max="4" width="14.28515625" customWidth="1"/>
    <col min="5" max="5" width="13.140625" bestFit="1" customWidth="1"/>
  </cols>
  <sheetData>
    <row r="1" spans="1:4" s="220" customFormat="1" ht="32.450000000000003" customHeight="1">
      <c r="A1" s="634" t="s">
        <v>799</v>
      </c>
      <c r="B1" s="634"/>
      <c r="C1" s="634"/>
      <c r="D1" s="634"/>
    </row>
    <row r="2" spans="1:4" s="220" customFormat="1" ht="32.450000000000003" customHeight="1">
      <c r="A2" s="634" t="s">
        <v>798</v>
      </c>
      <c r="B2" s="634"/>
      <c r="C2" s="634"/>
      <c r="D2" s="634"/>
    </row>
    <row r="3" spans="1:4" s="220" customFormat="1" ht="32.450000000000003" customHeight="1">
      <c r="A3" s="628" t="s">
        <v>859</v>
      </c>
      <c r="B3" s="628"/>
      <c r="C3" s="628"/>
      <c r="D3" s="628"/>
    </row>
    <row r="4" spans="1:4" s="220" customFormat="1" ht="27.6" customHeight="1">
      <c r="A4" s="613" t="s">
        <v>1224</v>
      </c>
      <c r="B4" s="613"/>
      <c r="C4" s="613"/>
      <c r="D4" s="613"/>
    </row>
    <row r="5" spans="1:4" s="220" customFormat="1" ht="28.5">
      <c r="A5" s="265"/>
      <c r="B5" s="265"/>
      <c r="C5" s="318"/>
      <c r="D5" s="265"/>
    </row>
    <row r="6" spans="1:4" s="220" customFormat="1" ht="24" hidden="1">
      <c r="A6" s="266" t="s">
        <v>771</v>
      </c>
      <c r="B6" s="266"/>
      <c r="C6" s="319"/>
    </row>
    <row r="7" spans="1:4" s="220" customFormat="1" ht="24" hidden="1">
      <c r="A7" s="271" t="s">
        <v>772</v>
      </c>
      <c r="B7" s="266"/>
      <c r="C7" s="319"/>
    </row>
    <row r="8" spans="1:4" s="220" customFormat="1" ht="24" hidden="1">
      <c r="A8" s="266" t="s">
        <v>773</v>
      </c>
      <c r="B8" s="266"/>
      <c r="C8" s="319"/>
    </row>
    <row r="9" spans="1:4" s="220" customFormat="1" ht="24" hidden="1">
      <c r="A9" s="266" t="s">
        <v>774</v>
      </c>
      <c r="B9" s="266"/>
      <c r="C9" s="319"/>
    </row>
    <row r="10" spans="1:4" s="220" customFormat="1" ht="24" hidden="1">
      <c r="A10" s="266" t="s">
        <v>775</v>
      </c>
      <c r="B10" s="266"/>
      <c r="C10" s="319"/>
    </row>
    <row r="11" spans="1:4" s="220" customFormat="1" ht="24" hidden="1">
      <c r="A11" s="266" t="s">
        <v>776</v>
      </c>
      <c r="B11" s="266"/>
      <c r="C11" s="319"/>
    </row>
    <row r="12" spans="1:4" s="220" customFormat="1" ht="24" hidden="1">
      <c r="A12" s="266" t="s">
        <v>777</v>
      </c>
      <c r="B12" s="266"/>
      <c r="C12" s="319"/>
    </row>
    <row r="13" spans="1:4" s="220" customFormat="1" ht="24" hidden="1">
      <c r="A13" s="266" t="s">
        <v>778</v>
      </c>
      <c r="B13" s="266"/>
      <c r="C13" s="319"/>
    </row>
    <row r="14" spans="1:4" s="220" customFormat="1" ht="24" hidden="1">
      <c r="A14" s="273" t="s">
        <v>779</v>
      </c>
      <c r="B14" s="266"/>
      <c r="C14" s="319"/>
      <c r="D14" s="274" t="e">
        <f>#REF!/#REF!*100</f>
        <v>#REF!</v>
      </c>
    </row>
    <row r="15" spans="1:4" s="220" customFormat="1" ht="24" hidden="1">
      <c r="A15" s="266" t="s">
        <v>780</v>
      </c>
      <c r="B15" s="266"/>
      <c r="C15" s="319"/>
      <c r="D15" s="275" t="e">
        <f>#REF!/#REF!*100</f>
        <v>#REF!</v>
      </c>
    </row>
    <row r="16" spans="1:4" s="220" customFormat="1" ht="24" hidden="1">
      <c r="A16" s="266" t="s">
        <v>781</v>
      </c>
      <c r="B16" s="266"/>
      <c r="C16" s="319"/>
      <c r="D16" s="266"/>
    </row>
    <row r="17" spans="1:14" s="220" customFormat="1" ht="24" hidden="1">
      <c r="A17" s="266" t="s">
        <v>782</v>
      </c>
      <c r="B17" s="266"/>
      <c r="C17" s="319"/>
      <c r="D17" s="276" t="e">
        <f>#REF!</f>
        <v>#REF!</v>
      </c>
    </row>
    <row r="18" spans="1:14" s="220" customFormat="1" ht="24">
      <c r="A18" s="266" t="s">
        <v>1138</v>
      </c>
      <c r="B18" s="266"/>
      <c r="C18" s="319"/>
    </row>
    <row r="19" spans="1:14" s="220" customFormat="1" ht="58.15" customHeight="1">
      <c r="A19" s="621" t="s">
        <v>752</v>
      </c>
      <c r="B19" s="621" t="s">
        <v>753</v>
      </c>
      <c r="C19" s="438"/>
      <c r="D19" s="621" t="s">
        <v>497</v>
      </c>
    </row>
    <row r="20" spans="1:14" s="220" customFormat="1" ht="58.15" customHeight="1">
      <c r="A20" s="621"/>
      <c r="B20" s="621"/>
      <c r="C20" s="335" t="s">
        <v>758</v>
      </c>
      <c r="D20" s="621"/>
    </row>
    <row r="21" spans="1:14" s="220" customFormat="1" ht="19.5">
      <c r="A21" s="278">
        <v>1</v>
      </c>
      <c r="B21" s="278">
        <v>2</v>
      </c>
      <c r="C21" s="477">
        <v>3</v>
      </c>
      <c r="D21" s="478">
        <v>4</v>
      </c>
    </row>
    <row r="22" spans="1:14" s="350" customFormat="1" ht="28.5">
      <c r="A22" s="646" t="s">
        <v>825</v>
      </c>
      <c r="B22" s="645"/>
      <c r="C22" s="368"/>
      <c r="D22" s="405"/>
      <c r="E22" s="263"/>
      <c r="F22" s="263"/>
      <c r="G22" s="263"/>
      <c r="H22" s="263"/>
      <c r="I22" s="263"/>
      <c r="J22" s="263"/>
      <c r="K22" s="263"/>
      <c r="L22" s="263"/>
      <c r="M22" s="263"/>
      <c r="N22" s="263"/>
    </row>
    <row r="23" spans="1:14" s="419" customFormat="1" ht="19.5">
      <c r="A23" s="304" t="s">
        <v>998</v>
      </c>
      <c r="B23" s="439" t="s">
        <v>864</v>
      </c>
      <c r="C23" s="370">
        <v>1.5</v>
      </c>
      <c r="D23" s="360"/>
      <c r="E23" s="418"/>
      <c r="F23" s="418"/>
      <c r="G23" s="418"/>
      <c r="H23" s="418"/>
      <c r="I23" s="418"/>
      <c r="J23" s="418"/>
      <c r="K23" s="418"/>
      <c r="L23" s="418"/>
      <c r="M23" s="418"/>
      <c r="N23" s="418"/>
    </row>
    <row r="24" spans="1:14" s="419" customFormat="1" ht="39">
      <c r="A24" s="304" t="s">
        <v>999</v>
      </c>
      <c r="B24" s="439" t="s">
        <v>865</v>
      </c>
      <c r="C24" s="370">
        <v>5</v>
      </c>
      <c r="D24" s="360"/>
      <c r="E24" s="418"/>
      <c r="F24" s="418"/>
      <c r="G24" s="418"/>
      <c r="H24" s="418"/>
      <c r="I24" s="418"/>
      <c r="J24" s="418"/>
      <c r="K24" s="418"/>
      <c r="L24" s="418"/>
      <c r="M24" s="418"/>
      <c r="N24" s="418"/>
    </row>
    <row r="25" spans="1:14" s="419" customFormat="1" ht="39">
      <c r="A25" s="304" t="s">
        <v>1008</v>
      </c>
      <c r="B25" s="439" t="s">
        <v>866</v>
      </c>
      <c r="C25" s="370">
        <v>5</v>
      </c>
      <c r="D25" s="360"/>
      <c r="E25" s="418"/>
      <c r="F25" s="418"/>
      <c r="G25" s="418"/>
      <c r="H25" s="418"/>
      <c r="I25" s="418"/>
      <c r="J25" s="418"/>
      <c r="K25" s="418"/>
      <c r="L25" s="418"/>
      <c r="M25" s="418"/>
      <c r="N25" s="418"/>
    </row>
    <row r="26" spans="1:14" s="419" customFormat="1" ht="58.5">
      <c r="A26" s="304" t="s">
        <v>1000</v>
      </c>
      <c r="B26" s="439" t="s">
        <v>867</v>
      </c>
      <c r="C26" s="370">
        <v>30</v>
      </c>
      <c r="D26" s="360"/>
      <c r="E26" s="418"/>
      <c r="F26" s="418"/>
      <c r="G26" s="418"/>
      <c r="H26" s="418"/>
      <c r="I26" s="418"/>
      <c r="J26" s="418"/>
      <c r="K26" s="418"/>
      <c r="L26" s="418"/>
      <c r="M26" s="418"/>
      <c r="N26" s="418"/>
    </row>
    <row r="27" spans="1:14" s="419" customFormat="1" ht="19.5">
      <c r="A27" s="431" t="s">
        <v>1001</v>
      </c>
      <c r="B27" s="439" t="s">
        <v>868</v>
      </c>
      <c r="C27" s="370">
        <v>25</v>
      </c>
      <c r="D27" s="360"/>
      <c r="E27" s="418"/>
      <c r="F27" s="418"/>
      <c r="G27" s="418"/>
      <c r="H27" s="418"/>
      <c r="I27" s="418"/>
      <c r="J27" s="418"/>
      <c r="K27" s="418"/>
      <c r="L27" s="418"/>
      <c r="M27" s="418"/>
      <c r="N27" s="418"/>
    </row>
    <row r="28" spans="1:14" s="419" customFormat="1" ht="19.5">
      <c r="A28" s="304" t="s">
        <v>1002</v>
      </c>
      <c r="B28" s="439" t="s">
        <v>869</v>
      </c>
      <c r="C28" s="370">
        <v>20</v>
      </c>
      <c r="D28" s="360"/>
      <c r="E28" s="418"/>
      <c r="F28" s="418"/>
      <c r="G28" s="418"/>
      <c r="H28" s="418"/>
      <c r="I28" s="418"/>
      <c r="J28" s="418"/>
      <c r="K28" s="418"/>
      <c r="L28" s="418"/>
      <c r="M28" s="418"/>
      <c r="N28" s="418"/>
    </row>
    <row r="29" spans="1:14" s="419" customFormat="1" ht="39">
      <c r="A29" s="304" t="s">
        <v>1003</v>
      </c>
      <c r="B29" s="439" t="s">
        <v>870</v>
      </c>
      <c r="C29" s="370">
        <v>20</v>
      </c>
      <c r="D29" s="360"/>
      <c r="E29" s="418"/>
      <c r="F29" s="418"/>
      <c r="G29" s="418"/>
      <c r="H29" s="418"/>
      <c r="I29" s="418"/>
      <c r="J29" s="418"/>
      <c r="K29" s="418"/>
      <c r="L29" s="418"/>
      <c r="M29" s="418"/>
      <c r="N29" s="418"/>
    </row>
    <row r="30" spans="1:14" s="419" customFormat="1" ht="19.5">
      <c r="A30" s="304" t="s">
        <v>1004</v>
      </c>
      <c r="B30" s="440" t="s">
        <v>871</v>
      </c>
      <c r="C30" s="370">
        <v>5</v>
      </c>
      <c r="D30" s="360"/>
      <c r="E30" s="418"/>
      <c r="F30" s="418"/>
      <c r="G30" s="418"/>
      <c r="H30" s="418"/>
      <c r="I30" s="418"/>
      <c r="J30" s="418"/>
      <c r="K30" s="418"/>
      <c r="L30" s="418"/>
      <c r="M30" s="418"/>
      <c r="N30" s="418"/>
    </row>
    <row r="31" spans="1:14" s="421" customFormat="1" ht="23.25">
      <c r="A31" s="304" t="s">
        <v>1005</v>
      </c>
      <c r="B31" s="440" t="s">
        <v>872</v>
      </c>
      <c r="C31" s="371">
        <v>15</v>
      </c>
      <c r="D31" s="360"/>
      <c r="E31" s="418"/>
      <c r="F31" s="420"/>
      <c r="G31" s="420"/>
      <c r="H31" s="420"/>
      <c r="I31" s="420"/>
      <c r="J31" s="420"/>
      <c r="K31" s="420"/>
      <c r="L31" s="420"/>
      <c r="M31" s="420"/>
      <c r="N31" s="420"/>
    </row>
    <row r="32" spans="1:14" s="421" customFormat="1" ht="39">
      <c r="A32" s="304" t="s">
        <v>1009</v>
      </c>
      <c r="B32" s="439" t="s">
        <v>873</v>
      </c>
      <c r="C32" s="371">
        <v>8</v>
      </c>
      <c r="D32" s="360"/>
      <c r="E32" s="418"/>
      <c r="F32" s="420"/>
      <c r="G32" s="420"/>
      <c r="H32" s="420"/>
      <c r="I32" s="420"/>
      <c r="J32" s="420"/>
      <c r="K32" s="420"/>
      <c r="L32" s="420"/>
      <c r="M32" s="420"/>
      <c r="N32" s="420"/>
    </row>
    <row r="33" spans="1:14" s="421" customFormat="1" ht="23.25">
      <c r="A33" s="304" t="s">
        <v>1010</v>
      </c>
      <c r="B33" s="440" t="s">
        <v>874</v>
      </c>
      <c r="C33" s="371">
        <v>8</v>
      </c>
      <c r="D33" s="360"/>
      <c r="E33" s="420"/>
      <c r="F33" s="420"/>
      <c r="G33" s="420"/>
      <c r="H33" s="420"/>
      <c r="I33" s="420"/>
      <c r="J33" s="420"/>
      <c r="K33" s="420"/>
      <c r="L33" s="420"/>
      <c r="M33" s="420"/>
      <c r="N33" s="420"/>
    </row>
    <row r="34" spans="1:14" s="421" customFormat="1" ht="23.25">
      <c r="A34" s="304" t="s">
        <v>1011</v>
      </c>
      <c r="B34" s="440" t="s">
        <v>875</v>
      </c>
      <c r="C34" s="371">
        <v>8</v>
      </c>
      <c r="D34" s="360"/>
      <c r="E34" s="420"/>
      <c r="F34" s="420"/>
      <c r="G34" s="420"/>
      <c r="H34" s="420"/>
      <c r="I34" s="420"/>
      <c r="J34" s="420"/>
      <c r="K34" s="420"/>
      <c r="L34" s="420"/>
      <c r="M34" s="420"/>
      <c r="N34" s="420"/>
    </row>
    <row r="35" spans="1:14" s="421" customFormat="1" ht="23.25">
      <c r="A35" s="304" t="s">
        <v>1012</v>
      </c>
      <c r="B35" s="440" t="s">
        <v>876</v>
      </c>
      <c r="C35" s="371">
        <v>8</v>
      </c>
      <c r="D35" s="360"/>
      <c r="E35" s="420"/>
      <c r="F35" s="420"/>
      <c r="G35" s="420"/>
      <c r="H35" s="420"/>
      <c r="I35" s="420"/>
      <c r="J35" s="420"/>
      <c r="K35" s="420"/>
      <c r="L35" s="420"/>
      <c r="M35" s="420"/>
      <c r="N35" s="420"/>
    </row>
    <row r="36" spans="1:14" s="306" customFormat="1" ht="23.25">
      <c r="A36" s="304" t="s">
        <v>1013</v>
      </c>
      <c r="B36" s="440" t="s">
        <v>877</v>
      </c>
      <c r="C36" s="371">
        <v>8</v>
      </c>
      <c r="D36" s="360"/>
      <c r="E36" s="305"/>
      <c r="F36" s="305"/>
      <c r="G36" s="305"/>
      <c r="H36" s="305"/>
      <c r="I36" s="305"/>
      <c r="J36" s="305"/>
      <c r="K36" s="305"/>
      <c r="L36" s="305"/>
      <c r="M36" s="305"/>
      <c r="N36" s="305"/>
    </row>
    <row r="37" spans="1:14" s="421" customFormat="1" ht="23.25">
      <c r="A37" s="304" t="s">
        <v>1014</v>
      </c>
      <c r="B37" s="440" t="s">
        <v>878</v>
      </c>
      <c r="C37" s="371">
        <v>10</v>
      </c>
      <c r="D37" s="360"/>
      <c r="E37" s="420"/>
      <c r="F37" s="420"/>
      <c r="G37" s="420"/>
      <c r="H37" s="420"/>
      <c r="I37" s="420"/>
      <c r="J37" s="420"/>
      <c r="K37" s="420"/>
      <c r="L37" s="420"/>
      <c r="M37" s="420"/>
      <c r="N37" s="420"/>
    </row>
    <row r="38" spans="1:14" s="421" customFormat="1" ht="23.25">
      <c r="A38" s="304" t="s">
        <v>1015</v>
      </c>
      <c r="B38" s="440" t="s">
        <v>879</v>
      </c>
      <c r="C38" s="371">
        <v>5</v>
      </c>
      <c r="D38" s="360"/>
      <c r="E38" s="420"/>
      <c r="F38" s="420"/>
      <c r="G38" s="420"/>
      <c r="H38" s="420"/>
      <c r="I38" s="420"/>
      <c r="J38" s="420"/>
      <c r="K38" s="420"/>
      <c r="L38" s="420"/>
      <c r="M38" s="420"/>
      <c r="N38" s="420"/>
    </row>
    <row r="39" spans="1:14" s="421" customFormat="1" ht="23.25">
      <c r="A39" s="304" t="s">
        <v>1016</v>
      </c>
      <c r="B39" s="441" t="s">
        <v>880</v>
      </c>
      <c r="C39" s="371">
        <v>8</v>
      </c>
      <c r="D39" s="360"/>
      <c r="F39" s="420"/>
      <c r="G39" s="420"/>
      <c r="H39" s="420"/>
      <c r="I39" s="420"/>
      <c r="J39" s="420"/>
      <c r="K39" s="420"/>
      <c r="L39" s="420"/>
      <c r="M39" s="420"/>
      <c r="N39" s="420"/>
    </row>
    <row r="40" spans="1:14" s="306" customFormat="1" ht="23.25">
      <c r="A40" s="304" t="s">
        <v>1017</v>
      </c>
      <c r="B40" s="441" t="s">
        <v>881</v>
      </c>
      <c r="C40" s="371">
        <v>10</v>
      </c>
      <c r="D40" s="360"/>
      <c r="E40" s="305"/>
      <c r="F40" s="305"/>
      <c r="G40" s="305"/>
      <c r="H40" s="305"/>
      <c r="I40" s="305"/>
      <c r="J40" s="305"/>
      <c r="K40" s="305"/>
      <c r="L40" s="305"/>
      <c r="M40" s="305"/>
      <c r="N40" s="305"/>
    </row>
    <row r="41" spans="1:14" s="306" customFormat="1" ht="23.25">
      <c r="A41" s="304" t="s">
        <v>1018</v>
      </c>
      <c r="B41" s="441" t="s">
        <v>882</v>
      </c>
      <c r="C41" s="371">
        <v>5</v>
      </c>
      <c r="D41" s="360"/>
      <c r="E41" s="305"/>
      <c r="F41" s="305"/>
      <c r="G41" s="305"/>
      <c r="H41" s="305"/>
      <c r="I41" s="305"/>
      <c r="J41" s="305"/>
      <c r="K41" s="305"/>
      <c r="L41" s="305"/>
      <c r="M41" s="305"/>
      <c r="N41" s="305"/>
    </row>
    <row r="42" spans="1:14" s="421" customFormat="1" ht="23.25">
      <c r="A42" s="304" t="s">
        <v>1019</v>
      </c>
      <c r="B42" s="441" t="s">
        <v>883</v>
      </c>
      <c r="C42" s="371">
        <v>8</v>
      </c>
      <c r="D42" s="360"/>
      <c r="E42" s="420"/>
      <c r="F42" s="420"/>
      <c r="G42" s="420"/>
      <c r="H42" s="420"/>
      <c r="I42" s="420"/>
      <c r="J42" s="420"/>
      <c r="K42" s="420"/>
      <c r="L42" s="420"/>
      <c r="M42" s="420"/>
      <c r="N42" s="420"/>
    </row>
    <row r="43" spans="1:14" s="306" customFormat="1" ht="23.25">
      <c r="A43" s="304" t="s">
        <v>1020</v>
      </c>
      <c r="B43" s="441" t="s">
        <v>884</v>
      </c>
      <c r="C43" s="371">
        <v>8</v>
      </c>
      <c r="D43" s="360"/>
      <c r="E43" s="305"/>
      <c r="F43" s="305"/>
      <c r="G43" s="305"/>
      <c r="H43" s="305"/>
      <c r="I43" s="305"/>
      <c r="J43" s="305"/>
      <c r="K43" s="305"/>
      <c r="L43" s="305"/>
      <c r="M43" s="305"/>
      <c r="N43" s="305"/>
    </row>
    <row r="44" spans="1:14" s="306" customFormat="1" ht="23.25">
      <c r="A44" s="304" t="s">
        <v>1021</v>
      </c>
      <c r="B44" s="441" t="s">
        <v>885</v>
      </c>
      <c r="C44" s="371">
        <v>8</v>
      </c>
      <c r="D44" s="360"/>
      <c r="E44" s="305"/>
      <c r="F44" s="305"/>
      <c r="G44" s="305"/>
      <c r="H44" s="305"/>
      <c r="I44" s="305"/>
      <c r="J44" s="305"/>
      <c r="K44" s="305"/>
      <c r="L44" s="305"/>
      <c r="M44" s="305"/>
      <c r="N44" s="305"/>
    </row>
    <row r="45" spans="1:14" s="421" customFormat="1" ht="23.25">
      <c r="A45" s="304" t="s">
        <v>1022</v>
      </c>
      <c r="B45" s="441" t="s">
        <v>886</v>
      </c>
      <c r="C45" s="371">
        <v>8</v>
      </c>
      <c r="D45" s="360"/>
      <c r="E45" s="420"/>
      <c r="F45" s="420"/>
      <c r="G45" s="420"/>
      <c r="H45" s="420"/>
      <c r="I45" s="420"/>
      <c r="J45" s="420"/>
      <c r="K45" s="420"/>
      <c r="L45" s="420"/>
      <c r="M45" s="420"/>
      <c r="N45" s="420"/>
    </row>
    <row r="46" spans="1:14" s="306" customFormat="1" ht="23.25">
      <c r="A46" s="304" t="s">
        <v>1023</v>
      </c>
      <c r="B46" s="439" t="s">
        <v>887</v>
      </c>
      <c r="C46" s="371">
        <v>5</v>
      </c>
      <c r="D46" s="360"/>
      <c r="E46" s="305"/>
      <c r="F46" s="305"/>
      <c r="G46" s="305"/>
      <c r="H46" s="305"/>
      <c r="I46" s="305"/>
      <c r="J46" s="305"/>
      <c r="K46" s="305"/>
      <c r="L46" s="305"/>
      <c r="M46" s="305"/>
      <c r="N46" s="305"/>
    </row>
    <row r="47" spans="1:14" s="306" customFormat="1" ht="23.25">
      <c r="A47" s="304" t="s">
        <v>1024</v>
      </c>
      <c r="B47" s="442" t="s">
        <v>888</v>
      </c>
      <c r="C47" s="371">
        <v>5</v>
      </c>
      <c r="D47" s="360"/>
      <c r="E47" s="305"/>
      <c r="F47" s="305"/>
      <c r="G47" s="305"/>
      <c r="H47" s="305"/>
      <c r="I47" s="305"/>
      <c r="J47" s="305"/>
      <c r="K47" s="305"/>
      <c r="L47" s="305"/>
      <c r="M47" s="305"/>
      <c r="N47" s="305"/>
    </row>
    <row r="48" spans="1:14" s="421" customFormat="1" ht="23.25">
      <c r="A48" s="304" t="s">
        <v>1025</v>
      </c>
      <c r="B48" s="441" t="s">
        <v>889</v>
      </c>
      <c r="C48" s="371">
        <v>5</v>
      </c>
      <c r="D48" s="360"/>
      <c r="E48" s="420"/>
      <c r="F48" s="420"/>
      <c r="G48" s="420"/>
      <c r="H48" s="420"/>
      <c r="I48" s="420"/>
      <c r="J48" s="420"/>
      <c r="K48" s="420"/>
      <c r="L48" s="420"/>
      <c r="M48" s="420"/>
      <c r="N48" s="420"/>
    </row>
    <row r="49" spans="1:14" s="306" customFormat="1" ht="23.25">
      <c r="A49" s="304" t="s">
        <v>1026</v>
      </c>
      <c r="B49" s="441" t="s">
        <v>890</v>
      </c>
      <c r="C49" s="371">
        <v>5</v>
      </c>
      <c r="D49" s="360"/>
      <c r="E49" s="305"/>
      <c r="F49" s="305"/>
      <c r="G49" s="305"/>
      <c r="H49" s="305"/>
      <c r="I49" s="305"/>
      <c r="J49" s="305"/>
      <c r="K49" s="305"/>
      <c r="L49" s="305"/>
      <c r="M49" s="305"/>
      <c r="N49" s="305"/>
    </row>
    <row r="50" spans="1:14" s="306" customFormat="1" ht="23.25">
      <c r="A50" s="304" t="s">
        <v>1027</v>
      </c>
      <c r="B50" s="441" t="s">
        <v>891</v>
      </c>
      <c r="C50" s="371">
        <v>8</v>
      </c>
      <c r="D50" s="360"/>
      <c r="E50" s="305"/>
      <c r="F50" s="305"/>
      <c r="G50" s="305"/>
      <c r="H50" s="305"/>
      <c r="I50" s="305"/>
      <c r="J50" s="305"/>
      <c r="K50" s="305"/>
      <c r="L50" s="305"/>
      <c r="M50" s="305"/>
      <c r="N50" s="305"/>
    </row>
    <row r="51" spans="1:14" s="421" customFormat="1" ht="23.25">
      <c r="A51" s="304" t="s">
        <v>1028</v>
      </c>
      <c r="B51" s="441" t="s">
        <v>892</v>
      </c>
      <c r="C51" s="371">
        <v>8</v>
      </c>
      <c r="D51" s="360"/>
      <c r="E51" s="420"/>
      <c r="F51" s="420"/>
      <c r="G51" s="420"/>
      <c r="H51" s="420"/>
      <c r="I51" s="420"/>
      <c r="J51" s="420"/>
      <c r="K51" s="420"/>
      <c r="L51" s="420"/>
      <c r="M51" s="420"/>
      <c r="N51" s="420"/>
    </row>
    <row r="52" spans="1:14" s="306" customFormat="1" ht="39">
      <c r="A52" s="304" t="s">
        <v>1029</v>
      </c>
      <c r="B52" s="441" t="s">
        <v>893</v>
      </c>
      <c r="C52" s="371">
        <v>20</v>
      </c>
      <c r="D52" s="360"/>
      <c r="E52" s="305"/>
      <c r="F52" s="305"/>
      <c r="G52" s="305"/>
      <c r="H52" s="305"/>
      <c r="I52" s="305"/>
      <c r="J52" s="305"/>
      <c r="K52" s="305"/>
      <c r="L52" s="305"/>
      <c r="M52" s="305"/>
      <c r="N52" s="305"/>
    </row>
    <row r="53" spans="1:14" s="306" customFormat="1" ht="58.5">
      <c r="A53" s="304" t="s">
        <v>1030</v>
      </c>
      <c r="B53" s="441" t="s">
        <v>894</v>
      </c>
      <c r="C53" s="371">
        <v>30</v>
      </c>
      <c r="D53" s="360"/>
      <c r="E53" s="305"/>
      <c r="F53" s="305"/>
      <c r="G53" s="305"/>
      <c r="H53" s="305"/>
      <c r="I53" s="305"/>
      <c r="J53" s="305"/>
      <c r="K53" s="305"/>
      <c r="L53" s="305"/>
      <c r="M53" s="305"/>
      <c r="N53" s="305"/>
    </row>
    <row r="54" spans="1:14" s="421" customFormat="1" ht="39">
      <c r="A54" s="304" t="s">
        <v>1031</v>
      </c>
      <c r="B54" s="443" t="s">
        <v>895</v>
      </c>
      <c r="C54" s="371">
        <v>35</v>
      </c>
      <c r="D54" s="360"/>
      <c r="E54" s="420"/>
      <c r="F54" s="420"/>
      <c r="G54" s="420"/>
      <c r="H54" s="420"/>
      <c r="I54" s="420"/>
      <c r="J54" s="420"/>
      <c r="K54" s="420"/>
      <c r="L54" s="420"/>
      <c r="M54" s="420"/>
      <c r="N54" s="420"/>
    </row>
    <row r="55" spans="1:14" s="306" customFormat="1" ht="25.15" customHeight="1">
      <c r="A55" s="304" t="s">
        <v>1032</v>
      </c>
      <c r="B55" s="441" t="s">
        <v>896</v>
      </c>
      <c r="C55" s="371">
        <v>15</v>
      </c>
      <c r="D55" s="360"/>
      <c r="E55" s="305"/>
      <c r="F55" s="305"/>
      <c r="G55" s="305"/>
      <c r="H55" s="305"/>
      <c r="I55" s="305"/>
      <c r="J55" s="305"/>
      <c r="K55" s="305"/>
      <c r="L55" s="305"/>
      <c r="M55" s="305"/>
      <c r="N55" s="305"/>
    </row>
    <row r="56" spans="1:14" s="306" customFormat="1" ht="39">
      <c r="A56" s="304" t="s">
        <v>1033</v>
      </c>
      <c r="B56" s="441" t="s">
        <v>897</v>
      </c>
      <c r="C56" s="371">
        <v>5</v>
      </c>
      <c r="D56" s="360"/>
      <c r="E56" s="305"/>
      <c r="F56" s="305"/>
      <c r="G56" s="305"/>
      <c r="H56" s="305"/>
      <c r="I56" s="305"/>
      <c r="J56" s="305"/>
      <c r="K56" s="305"/>
      <c r="L56" s="305"/>
      <c r="M56" s="305"/>
      <c r="N56" s="305"/>
    </row>
    <row r="57" spans="1:14" s="421" customFormat="1" ht="30" customHeight="1">
      <c r="A57" s="304" t="s">
        <v>1034</v>
      </c>
      <c r="B57" s="441" t="s">
        <v>898</v>
      </c>
      <c r="C57" s="371">
        <v>5</v>
      </c>
      <c r="D57" s="360"/>
      <c r="E57" s="420"/>
      <c r="F57" s="420"/>
      <c r="G57" s="420"/>
      <c r="H57" s="420"/>
      <c r="I57" s="420"/>
      <c r="J57" s="420"/>
      <c r="K57" s="420"/>
      <c r="L57" s="420"/>
      <c r="M57" s="420"/>
      <c r="N57" s="420"/>
    </row>
    <row r="58" spans="1:14" s="306" customFormat="1" ht="27.6" customHeight="1">
      <c r="A58" s="304" t="s">
        <v>1035</v>
      </c>
      <c r="B58" s="442" t="s">
        <v>899</v>
      </c>
      <c r="C58" s="371">
        <v>40.130000000000003</v>
      </c>
      <c r="D58" s="360"/>
      <c r="E58" s="305"/>
      <c r="F58" s="305"/>
      <c r="G58" s="305"/>
      <c r="H58" s="305"/>
      <c r="I58" s="305"/>
      <c r="J58" s="305"/>
      <c r="K58" s="305"/>
      <c r="L58" s="305"/>
      <c r="M58" s="305"/>
      <c r="N58" s="305"/>
    </row>
    <row r="59" spans="1:14" s="306" customFormat="1" ht="39">
      <c r="A59" s="430" t="s">
        <v>1036</v>
      </c>
      <c r="B59" s="439" t="s">
        <v>900</v>
      </c>
      <c r="C59" s="371">
        <v>8</v>
      </c>
      <c r="D59" s="360"/>
      <c r="E59" s="305"/>
      <c r="F59" s="305"/>
      <c r="G59" s="305"/>
      <c r="H59" s="305"/>
      <c r="I59" s="305"/>
      <c r="J59" s="305"/>
      <c r="K59" s="305"/>
      <c r="L59" s="305"/>
      <c r="M59" s="305"/>
      <c r="N59" s="305"/>
    </row>
    <row r="60" spans="1:14" s="421" customFormat="1" ht="39">
      <c r="A60" s="430" t="s">
        <v>1037</v>
      </c>
      <c r="B60" s="439" t="s">
        <v>901</v>
      </c>
      <c r="C60" s="371">
        <v>25</v>
      </c>
      <c r="D60" s="360"/>
      <c r="E60" s="420"/>
      <c r="F60" s="420"/>
      <c r="G60" s="420"/>
      <c r="H60" s="420"/>
      <c r="I60" s="420"/>
      <c r="J60" s="420"/>
      <c r="K60" s="420"/>
      <c r="L60" s="420"/>
      <c r="M60" s="420"/>
      <c r="N60" s="420"/>
    </row>
    <row r="61" spans="1:14" s="306" customFormat="1" ht="39">
      <c r="A61" s="430" t="s">
        <v>1038</v>
      </c>
      <c r="B61" s="442" t="s">
        <v>902</v>
      </c>
      <c r="C61" s="371">
        <v>5</v>
      </c>
      <c r="D61" s="360"/>
      <c r="E61" s="305"/>
      <c r="F61" s="305"/>
      <c r="G61" s="305"/>
      <c r="H61" s="305"/>
      <c r="I61" s="305"/>
      <c r="J61" s="305"/>
      <c r="K61" s="305"/>
      <c r="L61" s="305"/>
      <c r="M61" s="305"/>
      <c r="N61" s="305"/>
    </row>
    <row r="62" spans="1:14" s="306" customFormat="1" ht="44.25">
      <c r="A62" s="430" t="s">
        <v>1039</v>
      </c>
      <c r="B62" s="444" t="s">
        <v>903</v>
      </c>
      <c r="C62" s="371">
        <v>35</v>
      </c>
      <c r="D62" s="360"/>
      <c r="E62" s="305"/>
      <c r="F62" s="305"/>
      <c r="G62" s="305"/>
      <c r="H62" s="305"/>
      <c r="I62" s="305"/>
      <c r="J62" s="305"/>
      <c r="K62" s="305"/>
      <c r="L62" s="305"/>
      <c r="M62" s="305"/>
      <c r="N62" s="305"/>
    </row>
    <row r="63" spans="1:14" s="421" customFormat="1" ht="44.25">
      <c r="A63" s="430" t="s">
        <v>1040</v>
      </c>
      <c r="B63" s="444" t="s">
        <v>904</v>
      </c>
      <c r="C63" s="371">
        <v>5</v>
      </c>
      <c r="D63" s="360"/>
      <c r="E63" s="420"/>
      <c r="F63" s="420"/>
      <c r="G63" s="420"/>
      <c r="H63" s="420"/>
      <c r="I63" s="420"/>
      <c r="J63" s="420"/>
      <c r="K63" s="420"/>
      <c r="L63" s="420"/>
      <c r="M63" s="420"/>
      <c r="N63" s="420"/>
    </row>
    <row r="64" spans="1:14" s="306" customFormat="1" ht="44.25">
      <c r="A64" s="430" t="s">
        <v>1041</v>
      </c>
      <c r="B64" s="444" t="s">
        <v>905</v>
      </c>
      <c r="C64" s="371">
        <v>5</v>
      </c>
      <c r="D64" s="360"/>
      <c r="E64" s="305"/>
      <c r="F64" s="305"/>
      <c r="G64" s="305"/>
      <c r="H64" s="305"/>
      <c r="I64" s="305"/>
      <c r="J64" s="305"/>
      <c r="K64" s="305"/>
      <c r="L64" s="305"/>
      <c r="M64" s="305"/>
      <c r="N64" s="305"/>
    </row>
    <row r="65" spans="1:14" s="306" customFormat="1" ht="44.25">
      <c r="A65" s="430" t="s">
        <v>1042</v>
      </c>
      <c r="B65" s="444" t="s">
        <v>906</v>
      </c>
      <c r="C65" s="371">
        <v>5</v>
      </c>
      <c r="D65" s="360"/>
      <c r="E65" s="305"/>
      <c r="F65" s="305"/>
      <c r="G65" s="305"/>
      <c r="H65" s="305"/>
      <c r="I65" s="305"/>
      <c r="J65" s="305"/>
      <c r="K65" s="305"/>
      <c r="L65" s="305"/>
      <c r="M65" s="305"/>
      <c r="N65" s="305"/>
    </row>
    <row r="66" spans="1:14" s="421" customFormat="1" ht="24.75">
      <c r="A66" s="430" t="s">
        <v>1043</v>
      </c>
      <c r="B66" s="444" t="s">
        <v>907</v>
      </c>
      <c r="C66" s="371">
        <v>5</v>
      </c>
      <c r="D66" s="360"/>
      <c r="E66" s="420"/>
      <c r="F66" s="420"/>
      <c r="G66" s="420"/>
      <c r="H66" s="420"/>
      <c r="I66" s="420"/>
      <c r="J66" s="420"/>
      <c r="K66" s="420"/>
      <c r="L66" s="420"/>
      <c r="M66" s="420"/>
      <c r="N66" s="420"/>
    </row>
    <row r="67" spans="1:14" s="306" customFormat="1" ht="44.25">
      <c r="A67" s="430" t="s">
        <v>1044</v>
      </c>
      <c r="B67" s="444" t="s">
        <v>908</v>
      </c>
      <c r="C67" s="371">
        <v>42</v>
      </c>
      <c r="D67" s="360"/>
      <c r="E67" s="305"/>
      <c r="F67" s="305"/>
      <c r="G67" s="305"/>
      <c r="H67" s="305"/>
      <c r="I67" s="305"/>
      <c r="J67" s="305"/>
      <c r="K67" s="305"/>
      <c r="L67" s="305"/>
      <c r="M67" s="305"/>
      <c r="N67" s="305"/>
    </row>
    <row r="68" spans="1:14" s="306" customFormat="1" ht="44.25">
      <c r="A68" s="430" t="s">
        <v>1045</v>
      </c>
      <c r="B68" s="444" t="s">
        <v>909</v>
      </c>
      <c r="C68" s="371">
        <v>15</v>
      </c>
      <c r="D68" s="360"/>
      <c r="E68" s="305"/>
      <c r="F68" s="305"/>
      <c r="G68" s="305"/>
      <c r="H68" s="305"/>
      <c r="I68" s="305"/>
      <c r="J68" s="305"/>
      <c r="K68" s="305"/>
      <c r="L68" s="305"/>
      <c r="M68" s="305"/>
      <c r="N68" s="305"/>
    </row>
    <row r="69" spans="1:14" s="421" customFormat="1" ht="23.25">
      <c r="A69" s="430" t="s">
        <v>1046</v>
      </c>
      <c r="B69" s="439" t="s">
        <v>910</v>
      </c>
      <c r="C69" s="371">
        <v>5</v>
      </c>
      <c r="D69" s="360"/>
      <c r="E69" s="420"/>
      <c r="F69" s="420"/>
      <c r="G69" s="420"/>
      <c r="H69" s="420"/>
      <c r="I69" s="420"/>
      <c r="J69" s="420"/>
      <c r="K69" s="420"/>
      <c r="L69" s="420"/>
      <c r="M69" s="420"/>
      <c r="N69" s="420"/>
    </row>
    <row r="70" spans="1:14" s="306" customFormat="1" ht="44.25">
      <c r="A70" s="430" t="s">
        <v>1047</v>
      </c>
      <c r="B70" s="444" t="s">
        <v>911</v>
      </c>
      <c r="C70" s="371">
        <v>5</v>
      </c>
      <c r="D70" s="360"/>
      <c r="E70" s="305"/>
      <c r="F70" s="305"/>
      <c r="G70" s="305"/>
      <c r="H70" s="305"/>
      <c r="I70" s="305"/>
      <c r="J70" s="305"/>
      <c r="K70" s="305"/>
      <c r="L70" s="305"/>
      <c r="M70" s="305"/>
      <c r="N70" s="305"/>
    </row>
    <row r="71" spans="1:14" s="306" customFormat="1" ht="23.25">
      <c r="A71" s="430" t="s">
        <v>1048</v>
      </c>
      <c r="B71" s="441" t="s">
        <v>912</v>
      </c>
      <c r="C71" s="371">
        <v>5</v>
      </c>
      <c r="D71" s="360"/>
      <c r="E71" s="305"/>
      <c r="F71" s="305"/>
      <c r="G71" s="305"/>
      <c r="H71" s="305"/>
      <c r="I71" s="305"/>
      <c r="J71" s="305"/>
      <c r="K71" s="305"/>
      <c r="L71" s="305"/>
      <c r="M71" s="305"/>
      <c r="N71" s="305"/>
    </row>
    <row r="72" spans="1:14" s="421" customFormat="1" ht="23.25">
      <c r="A72" s="430" t="s">
        <v>1049</v>
      </c>
      <c r="B72" s="441" t="s">
        <v>913</v>
      </c>
      <c r="C72" s="371">
        <v>5</v>
      </c>
      <c r="D72" s="360"/>
      <c r="E72" s="420"/>
      <c r="F72" s="420"/>
      <c r="G72" s="420"/>
      <c r="H72" s="420"/>
      <c r="I72" s="420"/>
      <c r="J72" s="420"/>
      <c r="K72" s="420"/>
      <c r="L72" s="420"/>
      <c r="M72" s="420"/>
      <c r="N72" s="420"/>
    </row>
    <row r="73" spans="1:14" s="306" customFormat="1" ht="24.75">
      <c r="A73" s="430" t="s">
        <v>1050</v>
      </c>
      <c r="B73" s="445" t="s">
        <v>914</v>
      </c>
      <c r="C73" s="371">
        <v>8</v>
      </c>
      <c r="D73" s="360"/>
      <c r="E73" s="305"/>
      <c r="F73" s="305"/>
      <c r="G73" s="305"/>
      <c r="H73" s="305"/>
      <c r="I73" s="305"/>
      <c r="J73" s="305"/>
      <c r="K73" s="305"/>
      <c r="L73" s="305"/>
      <c r="M73" s="305"/>
      <c r="N73" s="305"/>
    </row>
    <row r="74" spans="1:14" s="306" customFormat="1" ht="44.25">
      <c r="A74" s="430" t="s">
        <v>1051</v>
      </c>
      <c r="B74" s="444" t="s">
        <v>915</v>
      </c>
      <c r="C74" s="371">
        <v>5</v>
      </c>
      <c r="D74" s="360"/>
      <c r="E74" s="305"/>
      <c r="F74" s="305"/>
      <c r="G74" s="305"/>
      <c r="H74" s="305"/>
      <c r="I74" s="305"/>
      <c r="J74" s="305"/>
      <c r="K74" s="305"/>
      <c r="L74" s="305"/>
      <c r="M74" s="305"/>
      <c r="N74" s="305"/>
    </row>
    <row r="75" spans="1:14" s="421" customFormat="1" ht="24.75">
      <c r="A75" s="430" t="s">
        <v>1052</v>
      </c>
      <c r="B75" s="445" t="s">
        <v>916</v>
      </c>
      <c r="C75" s="371">
        <v>5</v>
      </c>
      <c r="D75" s="360"/>
      <c r="E75" s="420"/>
      <c r="F75" s="420"/>
      <c r="G75" s="420"/>
      <c r="H75" s="420"/>
      <c r="I75" s="420"/>
      <c r="J75" s="420"/>
      <c r="K75" s="420"/>
      <c r="L75" s="420"/>
      <c r="M75" s="420"/>
      <c r="N75" s="420"/>
    </row>
    <row r="76" spans="1:14" s="306" customFormat="1" ht="44.25">
      <c r="A76" s="430" t="s">
        <v>1053</v>
      </c>
      <c r="B76" s="444" t="s">
        <v>917</v>
      </c>
      <c r="C76" s="371">
        <v>8</v>
      </c>
      <c r="D76" s="360"/>
      <c r="E76" s="305"/>
      <c r="F76" s="305"/>
      <c r="G76" s="305"/>
      <c r="H76" s="305"/>
      <c r="I76" s="305"/>
      <c r="J76" s="305"/>
      <c r="K76" s="305"/>
      <c r="L76" s="305"/>
      <c r="M76" s="305"/>
      <c r="N76" s="305"/>
    </row>
    <row r="77" spans="1:14" s="306" customFormat="1" ht="44.25">
      <c r="A77" s="430" t="s">
        <v>1054</v>
      </c>
      <c r="B77" s="444" t="s">
        <v>918</v>
      </c>
      <c r="C77" s="371">
        <v>15</v>
      </c>
      <c r="D77" s="360"/>
      <c r="E77" s="305"/>
      <c r="F77" s="305"/>
      <c r="G77" s="305"/>
      <c r="H77" s="305"/>
      <c r="I77" s="305"/>
      <c r="J77" s="305"/>
      <c r="K77" s="305"/>
      <c r="L77" s="305"/>
      <c r="M77" s="305"/>
      <c r="N77" s="305"/>
    </row>
    <row r="78" spans="1:14" s="421" customFormat="1" ht="39">
      <c r="A78" s="430" t="s">
        <v>1055</v>
      </c>
      <c r="B78" s="441" t="s">
        <v>919</v>
      </c>
      <c r="C78" s="371">
        <v>3</v>
      </c>
      <c r="D78" s="360"/>
      <c r="E78" s="420"/>
      <c r="F78" s="420"/>
      <c r="G78" s="420"/>
      <c r="H78" s="420"/>
      <c r="I78" s="420"/>
      <c r="J78" s="420"/>
      <c r="K78" s="420"/>
      <c r="L78" s="420"/>
      <c r="M78" s="420"/>
      <c r="N78" s="420"/>
    </row>
    <row r="79" spans="1:14" s="306" customFormat="1" ht="39">
      <c r="A79" s="430" t="s">
        <v>1056</v>
      </c>
      <c r="B79" s="441" t="s">
        <v>920</v>
      </c>
      <c r="C79" s="371">
        <v>8</v>
      </c>
      <c r="D79" s="360"/>
      <c r="E79" s="305"/>
      <c r="F79" s="305"/>
      <c r="G79" s="305"/>
      <c r="H79" s="305"/>
      <c r="I79" s="305"/>
      <c r="J79" s="305"/>
      <c r="K79" s="305"/>
      <c r="L79" s="305"/>
      <c r="M79" s="305"/>
      <c r="N79" s="305"/>
    </row>
    <row r="80" spans="1:14" s="306" customFormat="1" ht="39">
      <c r="A80" s="430" t="s">
        <v>1057</v>
      </c>
      <c r="B80" s="441" t="s">
        <v>921</v>
      </c>
      <c r="C80" s="371">
        <v>10</v>
      </c>
      <c r="D80" s="360"/>
      <c r="E80" s="305"/>
      <c r="F80" s="305"/>
      <c r="G80" s="305"/>
      <c r="H80" s="305"/>
      <c r="I80" s="305"/>
      <c r="J80" s="305"/>
      <c r="K80" s="305"/>
      <c r="L80" s="305"/>
      <c r="M80" s="305"/>
      <c r="N80" s="305"/>
    </row>
    <row r="81" spans="1:14" s="421" customFormat="1" ht="39">
      <c r="A81" s="430" t="s">
        <v>1058</v>
      </c>
      <c r="B81" s="441" t="s">
        <v>922</v>
      </c>
      <c r="C81" s="371">
        <v>5</v>
      </c>
      <c r="D81" s="360"/>
      <c r="E81" s="420"/>
      <c r="F81" s="420"/>
      <c r="G81" s="420"/>
      <c r="H81" s="420"/>
      <c r="I81" s="420"/>
      <c r="J81" s="420"/>
      <c r="K81" s="420"/>
      <c r="L81" s="420"/>
      <c r="M81" s="420"/>
      <c r="N81" s="420"/>
    </row>
    <row r="82" spans="1:14" s="306" customFormat="1" ht="23.25">
      <c r="A82" s="430" t="s">
        <v>1059</v>
      </c>
      <c r="B82" s="441" t="s">
        <v>923</v>
      </c>
      <c r="C82" s="371">
        <v>15</v>
      </c>
      <c r="D82" s="360"/>
      <c r="E82" s="305"/>
      <c r="F82" s="305"/>
      <c r="G82" s="305"/>
      <c r="H82" s="305"/>
      <c r="I82" s="305"/>
      <c r="J82" s="305"/>
      <c r="K82" s="305"/>
      <c r="L82" s="305"/>
      <c r="M82" s="305"/>
      <c r="N82" s="305"/>
    </row>
    <row r="83" spans="1:14" s="306" customFormat="1" ht="23.25">
      <c r="A83" s="430" t="s">
        <v>1060</v>
      </c>
      <c r="B83" s="441" t="s">
        <v>924</v>
      </c>
      <c r="C83" s="371">
        <v>15</v>
      </c>
      <c r="D83" s="360"/>
      <c r="E83" s="305"/>
      <c r="F83" s="305"/>
      <c r="G83" s="305"/>
      <c r="H83" s="305"/>
      <c r="I83" s="305"/>
      <c r="J83" s="305"/>
      <c r="K83" s="305"/>
      <c r="L83" s="305"/>
      <c r="M83" s="305"/>
      <c r="N83" s="305"/>
    </row>
    <row r="84" spans="1:14" s="421" customFormat="1" ht="39">
      <c r="A84" s="430" t="s">
        <v>1061</v>
      </c>
      <c r="B84" s="446" t="s">
        <v>925</v>
      </c>
      <c r="C84" s="371">
        <v>10</v>
      </c>
      <c r="D84" s="360"/>
      <c r="E84" s="420"/>
      <c r="F84" s="420"/>
      <c r="G84" s="420"/>
      <c r="H84" s="420"/>
      <c r="I84" s="420"/>
      <c r="J84" s="420"/>
      <c r="K84" s="420"/>
      <c r="L84" s="420"/>
      <c r="M84" s="420"/>
      <c r="N84" s="420"/>
    </row>
    <row r="85" spans="1:14" s="306" customFormat="1" ht="39">
      <c r="A85" s="430" t="s">
        <v>1062</v>
      </c>
      <c r="B85" s="446" t="s">
        <v>926</v>
      </c>
      <c r="C85" s="371">
        <v>8</v>
      </c>
      <c r="D85" s="360"/>
      <c r="E85" s="305"/>
      <c r="F85" s="305"/>
      <c r="G85" s="305"/>
      <c r="H85" s="305"/>
      <c r="I85" s="305"/>
      <c r="J85" s="305"/>
      <c r="K85" s="305"/>
      <c r="L85" s="305"/>
      <c r="M85" s="305"/>
      <c r="N85" s="305"/>
    </row>
    <row r="86" spans="1:14" s="306" customFormat="1" ht="23.25">
      <c r="A86" s="430" t="s">
        <v>1063</v>
      </c>
      <c r="B86" s="443" t="s">
        <v>927</v>
      </c>
      <c r="C86" s="371">
        <v>8</v>
      </c>
      <c r="D86" s="360"/>
      <c r="E86" s="305"/>
      <c r="F86" s="305"/>
      <c r="G86" s="305"/>
      <c r="H86" s="305"/>
      <c r="I86" s="305"/>
      <c r="J86" s="305"/>
      <c r="K86" s="305"/>
      <c r="L86" s="305"/>
      <c r="M86" s="305"/>
      <c r="N86" s="305"/>
    </row>
    <row r="87" spans="1:14" s="421" customFormat="1" ht="39">
      <c r="A87" s="430" t="s">
        <v>1064</v>
      </c>
      <c r="B87" s="446" t="s">
        <v>928</v>
      </c>
      <c r="C87" s="371">
        <v>10</v>
      </c>
      <c r="D87" s="360"/>
      <c r="E87" s="420"/>
      <c r="F87" s="420"/>
      <c r="G87" s="420"/>
      <c r="H87" s="420"/>
      <c r="I87" s="420"/>
      <c r="J87" s="420"/>
      <c r="K87" s="420"/>
      <c r="L87" s="420"/>
      <c r="M87" s="420"/>
      <c r="N87" s="420"/>
    </row>
    <row r="88" spans="1:14" s="306" customFormat="1" ht="39">
      <c r="A88" s="430" t="s">
        <v>600</v>
      </c>
      <c r="B88" s="441" t="s">
        <v>929</v>
      </c>
      <c r="C88" s="371">
        <v>25</v>
      </c>
      <c r="D88" s="360"/>
      <c r="E88" s="305"/>
      <c r="F88" s="305"/>
      <c r="G88" s="305"/>
      <c r="H88" s="305"/>
      <c r="I88" s="305"/>
      <c r="J88" s="305"/>
      <c r="K88" s="305"/>
      <c r="L88" s="305"/>
      <c r="M88" s="305"/>
      <c r="N88" s="305"/>
    </row>
    <row r="89" spans="1:14" s="306" customFormat="1" ht="23.25">
      <c r="A89" s="469">
        <v>4</v>
      </c>
      <c r="B89" s="470" t="s">
        <v>1223</v>
      </c>
      <c r="C89" s="371"/>
      <c r="D89" s="360"/>
      <c r="E89" s="305"/>
      <c r="F89" s="305"/>
      <c r="G89" s="305"/>
      <c r="H89" s="305"/>
      <c r="I89" s="305"/>
      <c r="J89" s="305"/>
      <c r="K89" s="305"/>
      <c r="L89" s="305"/>
      <c r="M89" s="305"/>
      <c r="N89" s="305"/>
    </row>
    <row r="90" spans="1:14" s="421" customFormat="1" ht="23.25">
      <c r="A90" s="430" t="s">
        <v>1065</v>
      </c>
      <c r="B90" s="441" t="s">
        <v>930</v>
      </c>
      <c r="C90" s="371">
        <v>8</v>
      </c>
      <c r="D90" s="360"/>
      <c r="E90" s="420"/>
      <c r="F90" s="420"/>
      <c r="G90" s="420"/>
      <c r="H90" s="420"/>
      <c r="I90" s="420"/>
      <c r="J90" s="420"/>
      <c r="K90" s="420"/>
      <c r="L90" s="420"/>
      <c r="M90" s="420"/>
      <c r="N90" s="420"/>
    </row>
    <row r="91" spans="1:14" s="306" customFormat="1" ht="39">
      <c r="A91" s="430" t="s">
        <v>1066</v>
      </c>
      <c r="B91" s="441" t="s">
        <v>931</v>
      </c>
      <c r="C91" s="371">
        <v>8</v>
      </c>
      <c r="D91" s="360"/>
      <c r="E91" s="305"/>
      <c r="F91" s="305"/>
      <c r="G91" s="305"/>
      <c r="H91" s="305"/>
      <c r="I91" s="305"/>
      <c r="J91" s="305"/>
      <c r="K91" s="305"/>
      <c r="L91" s="305"/>
      <c r="M91" s="305"/>
      <c r="N91" s="305"/>
    </row>
    <row r="92" spans="1:14" s="306" customFormat="1" ht="23.25">
      <c r="A92" s="430" t="s">
        <v>1006</v>
      </c>
      <c r="B92" s="441" t="s">
        <v>932</v>
      </c>
      <c r="C92" s="371">
        <v>8</v>
      </c>
      <c r="D92" s="360"/>
      <c r="E92" s="305"/>
      <c r="F92" s="305"/>
      <c r="G92" s="305"/>
      <c r="H92" s="305"/>
      <c r="I92" s="305"/>
      <c r="J92" s="305"/>
      <c r="K92" s="305"/>
      <c r="L92" s="305"/>
      <c r="M92" s="305"/>
      <c r="N92" s="305"/>
    </row>
    <row r="93" spans="1:14" s="421" customFormat="1" ht="39">
      <c r="A93" s="430" t="s">
        <v>1007</v>
      </c>
      <c r="B93" s="441" t="s">
        <v>933</v>
      </c>
      <c r="C93" s="371">
        <v>25</v>
      </c>
      <c r="D93" s="360"/>
      <c r="E93" s="420"/>
      <c r="F93" s="420"/>
      <c r="G93" s="420"/>
      <c r="H93" s="420"/>
      <c r="I93" s="420"/>
      <c r="J93" s="420"/>
      <c r="K93" s="420"/>
      <c r="L93" s="420"/>
      <c r="M93" s="420"/>
      <c r="N93" s="420"/>
    </row>
    <row r="94" spans="1:14" s="306" customFormat="1" ht="39">
      <c r="A94" s="430" t="s">
        <v>1067</v>
      </c>
      <c r="B94" s="441" t="s">
        <v>934</v>
      </c>
      <c r="C94" s="371">
        <v>8</v>
      </c>
      <c r="D94" s="360"/>
      <c r="E94" s="305"/>
      <c r="F94" s="305"/>
      <c r="G94" s="305"/>
      <c r="H94" s="305"/>
      <c r="I94" s="305"/>
      <c r="J94" s="305"/>
      <c r="K94" s="305"/>
      <c r="L94" s="305"/>
      <c r="M94" s="305"/>
      <c r="N94" s="305"/>
    </row>
    <row r="95" spans="1:14" s="306" customFormat="1" ht="23.25">
      <c r="A95" s="430" t="s">
        <v>1068</v>
      </c>
      <c r="B95" s="441" t="s">
        <v>935</v>
      </c>
      <c r="C95" s="371">
        <v>8</v>
      </c>
      <c r="D95" s="360"/>
      <c r="E95" s="305"/>
      <c r="F95" s="305"/>
      <c r="G95" s="305"/>
      <c r="H95" s="305"/>
      <c r="I95" s="305"/>
      <c r="J95" s="305"/>
      <c r="K95" s="305"/>
      <c r="L95" s="305"/>
      <c r="M95" s="305"/>
      <c r="N95" s="305"/>
    </row>
    <row r="96" spans="1:14" s="421" customFormat="1" ht="23.25">
      <c r="A96" s="430" t="s">
        <v>1069</v>
      </c>
      <c r="B96" s="441" t="s">
        <v>936</v>
      </c>
      <c r="C96" s="371">
        <v>18</v>
      </c>
      <c r="D96" s="360"/>
      <c r="E96" s="420"/>
      <c r="F96" s="420"/>
      <c r="G96" s="420"/>
      <c r="H96" s="420"/>
      <c r="I96" s="420"/>
      <c r="J96" s="420"/>
      <c r="K96" s="420"/>
      <c r="L96" s="420"/>
      <c r="M96" s="420"/>
      <c r="N96" s="420"/>
    </row>
    <row r="97" spans="1:14" s="306" customFormat="1" ht="39">
      <c r="A97" s="430" t="s">
        <v>1070</v>
      </c>
      <c r="B97" s="441" t="s">
        <v>937</v>
      </c>
      <c r="C97" s="371">
        <v>10</v>
      </c>
      <c r="D97" s="360"/>
      <c r="E97" s="305"/>
      <c r="F97" s="305"/>
      <c r="G97" s="305"/>
      <c r="H97" s="305"/>
      <c r="I97" s="305"/>
      <c r="J97" s="305"/>
      <c r="K97" s="305"/>
      <c r="L97" s="305"/>
      <c r="M97" s="305"/>
      <c r="N97" s="305"/>
    </row>
    <row r="98" spans="1:14" s="306" customFormat="1" ht="39">
      <c r="A98" s="430" t="s">
        <v>1071</v>
      </c>
      <c r="B98" s="441" t="s">
        <v>938</v>
      </c>
      <c r="C98" s="371">
        <v>8</v>
      </c>
      <c r="D98" s="360"/>
      <c r="E98" s="305"/>
      <c r="F98" s="305"/>
      <c r="G98" s="305"/>
      <c r="H98" s="305"/>
      <c r="I98" s="305"/>
      <c r="J98" s="305"/>
      <c r="K98" s="305"/>
      <c r="L98" s="305"/>
      <c r="M98" s="305"/>
      <c r="N98" s="305"/>
    </row>
    <row r="99" spans="1:14" s="421" customFormat="1" ht="39">
      <c r="A99" s="430" t="s">
        <v>1072</v>
      </c>
      <c r="B99" s="441" t="s">
        <v>939</v>
      </c>
      <c r="C99" s="371">
        <v>15</v>
      </c>
      <c r="D99" s="360"/>
      <c r="E99" s="420"/>
      <c r="F99" s="420"/>
      <c r="G99" s="420"/>
      <c r="H99" s="420"/>
      <c r="I99" s="420"/>
      <c r="J99" s="420"/>
      <c r="K99" s="420"/>
      <c r="L99" s="420"/>
      <c r="M99" s="420"/>
      <c r="N99" s="420"/>
    </row>
    <row r="100" spans="1:14" s="306" customFormat="1" ht="39">
      <c r="A100" s="430" t="s">
        <v>1073</v>
      </c>
      <c r="B100" s="441" t="s">
        <v>940</v>
      </c>
      <c r="C100" s="371">
        <v>10</v>
      </c>
      <c r="D100" s="360"/>
      <c r="E100" s="305"/>
      <c r="F100" s="305"/>
      <c r="G100" s="305"/>
      <c r="H100" s="305"/>
      <c r="I100" s="305"/>
      <c r="J100" s="305"/>
      <c r="K100" s="305"/>
      <c r="L100" s="305"/>
      <c r="M100" s="305"/>
      <c r="N100" s="305"/>
    </row>
    <row r="101" spans="1:14" s="306" customFormat="1" ht="39">
      <c r="A101" s="430" t="s">
        <v>1074</v>
      </c>
      <c r="B101" s="441" t="s">
        <v>941</v>
      </c>
      <c r="C101" s="371">
        <v>8</v>
      </c>
      <c r="D101" s="360"/>
      <c r="E101" s="305"/>
      <c r="F101" s="305"/>
      <c r="G101" s="305"/>
      <c r="H101" s="305"/>
      <c r="I101" s="305"/>
      <c r="J101" s="305"/>
      <c r="K101" s="305"/>
      <c r="L101" s="305"/>
      <c r="M101" s="305"/>
      <c r="N101" s="305"/>
    </row>
    <row r="102" spans="1:14" s="421" customFormat="1" ht="39">
      <c r="A102" s="430" t="s">
        <v>1075</v>
      </c>
      <c r="B102" s="441" t="s">
        <v>942</v>
      </c>
      <c r="C102" s="371">
        <v>8</v>
      </c>
      <c r="D102" s="360"/>
      <c r="E102" s="420"/>
      <c r="F102" s="420"/>
      <c r="G102" s="420"/>
      <c r="H102" s="420"/>
      <c r="I102" s="420"/>
      <c r="J102" s="420"/>
      <c r="K102" s="420"/>
      <c r="L102" s="420"/>
      <c r="M102" s="420"/>
      <c r="N102" s="420"/>
    </row>
    <row r="103" spans="1:14" s="306" customFormat="1" ht="39">
      <c r="A103" s="430" t="s">
        <v>1076</v>
      </c>
      <c r="B103" s="441" t="s">
        <v>943</v>
      </c>
      <c r="C103" s="371">
        <v>8</v>
      </c>
      <c r="D103" s="360"/>
      <c r="E103" s="305"/>
      <c r="F103" s="305"/>
      <c r="G103" s="305"/>
      <c r="H103" s="305"/>
      <c r="I103" s="305"/>
      <c r="J103" s="305"/>
      <c r="K103" s="305"/>
      <c r="L103" s="305"/>
      <c r="M103" s="305"/>
      <c r="N103" s="305"/>
    </row>
    <row r="104" spans="1:14" s="306" customFormat="1" ht="23.25">
      <c r="A104" s="430" t="s">
        <v>1077</v>
      </c>
      <c r="B104" s="441" t="s">
        <v>944</v>
      </c>
      <c r="C104" s="371">
        <v>8</v>
      </c>
      <c r="D104" s="360"/>
      <c r="E104" s="305"/>
      <c r="F104" s="305"/>
      <c r="G104" s="305"/>
      <c r="H104" s="305"/>
      <c r="I104" s="305"/>
      <c r="J104" s="305"/>
      <c r="K104" s="305"/>
      <c r="L104" s="305"/>
      <c r="M104" s="305"/>
      <c r="N104" s="305"/>
    </row>
    <row r="105" spans="1:14" s="421" customFormat="1" ht="60.75">
      <c r="A105" s="430" t="s">
        <v>1078</v>
      </c>
      <c r="B105" s="441" t="s">
        <v>996</v>
      </c>
      <c r="C105" s="371">
        <v>8</v>
      </c>
      <c r="D105" s="360"/>
      <c r="E105" s="420"/>
      <c r="F105" s="420"/>
      <c r="G105" s="420"/>
      <c r="H105" s="420"/>
      <c r="I105" s="420"/>
      <c r="J105" s="420"/>
      <c r="K105" s="420"/>
      <c r="L105" s="420"/>
      <c r="M105" s="420"/>
      <c r="N105" s="420"/>
    </row>
    <row r="106" spans="1:14" s="421" customFormat="1" ht="39">
      <c r="A106" s="430" t="s">
        <v>1080</v>
      </c>
      <c r="B106" s="446" t="s">
        <v>1079</v>
      </c>
      <c r="C106" s="371">
        <v>8</v>
      </c>
      <c r="D106" s="360"/>
      <c r="E106" s="420"/>
      <c r="F106" s="420"/>
      <c r="G106" s="420"/>
      <c r="H106" s="420"/>
      <c r="I106" s="420"/>
      <c r="J106" s="420"/>
      <c r="K106" s="420"/>
      <c r="L106" s="420"/>
      <c r="M106" s="420"/>
      <c r="N106" s="420"/>
    </row>
    <row r="107" spans="1:14" s="306" customFormat="1" ht="39">
      <c r="A107" s="430" t="s">
        <v>1081</v>
      </c>
      <c r="B107" s="441" t="s">
        <v>945</v>
      </c>
      <c r="C107" s="371">
        <v>8.5</v>
      </c>
      <c r="D107" s="360"/>
      <c r="E107" s="305"/>
      <c r="F107" s="305"/>
      <c r="G107" s="305"/>
      <c r="H107" s="305"/>
      <c r="I107" s="305"/>
      <c r="J107" s="305"/>
      <c r="K107" s="305"/>
      <c r="L107" s="305"/>
      <c r="M107" s="305"/>
      <c r="N107" s="305"/>
    </row>
    <row r="108" spans="1:14" s="306" customFormat="1" ht="39">
      <c r="A108" s="430" t="s">
        <v>1082</v>
      </c>
      <c r="B108" s="441" t="s">
        <v>946</v>
      </c>
      <c r="C108" s="371">
        <v>8.5</v>
      </c>
      <c r="D108" s="360"/>
      <c r="E108" s="305"/>
      <c r="F108" s="305"/>
      <c r="G108" s="305"/>
      <c r="H108" s="305"/>
      <c r="I108" s="305"/>
      <c r="J108" s="305"/>
      <c r="K108" s="305"/>
      <c r="L108" s="305"/>
      <c r="M108" s="305"/>
      <c r="N108" s="305"/>
    </row>
    <row r="109" spans="1:14" s="421" customFormat="1" ht="39">
      <c r="A109" s="430" t="s">
        <v>1083</v>
      </c>
      <c r="B109" s="441" t="s">
        <v>947</v>
      </c>
      <c r="C109" s="371">
        <v>8</v>
      </c>
      <c r="D109" s="360"/>
      <c r="E109" s="420"/>
      <c r="F109" s="420"/>
      <c r="G109" s="420"/>
      <c r="H109" s="420"/>
      <c r="I109" s="420"/>
      <c r="J109" s="420"/>
      <c r="K109" s="420"/>
      <c r="L109" s="420"/>
      <c r="M109" s="420"/>
      <c r="N109" s="420"/>
    </row>
    <row r="110" spans="1:14" s="306" customFormat="1" ht="39">
      <c r="A110" s="430" t="s">
        <v>1084</v>
      </c>
      <c r="B110" s="441" t="s">
        <v>948</v>
      </c>
      <c r="C110" s="371">
        <v>8</v>
      </c>
      <c r="D110" s="360"/>
      <c r="E110" s="305"/>
      <c r="F110" s="305"/>
      <c r="G110" s="305"/>
      <c r="H110" s="305"/>
      <c r="I110" s="305"/>
      <c r="J110" s="305"/>
      <c r="K110" s="305"/>
      <c r="L110" s="305"/>
      <c r="M110" s="305"/>
      <c r="N110" s="305"/>
    </row>
    <row r="111" spans="1:14" s="306" customFormat="1" ht="39">
      <c r="A111" s="430" t="s">
        <v>1085</v>
      </c>
      <c r="B111" s="441" t="s">
        <v>949</v>
      </c>
      <c r="C111" s="371">
        <v>8</v>
      </c>
      <c r="D111" s="360"/>
      <c r="E111" s="305"/>
      <c r="F111" s="305"/>
      <c r="G111" s="305"/>
      <c r="H111" s="305"/>
      <c r="I111" s="305"/>
      <c r="J111" s="305"/>
      <c r="K111" s="305"/>
      <c r="L111" s="305"/>
      <c r="M111" s="305"/>
      <c r="N111" s="305"/>
    </row>
    <row r="112" spans="1:14" s="421" customFormat="1" ht="39">
      <c r="A112" s="430" t="s">
        <v>1086</v>
      </c>
      <c r="B112" s="441" t="s">
        <v>950</v>
      </c>
      <c r="C112" s="371">
        <v>8</v>
      </c>
      <c r="D112" s="360"/>
      <c r="E112" s="420"/>
      <c r="F112" s="420"/>
      <c r="G112" s="420"/>
      <c r="H112" s="420"/>
      <c r="I112" s="420"/>
      <c r="J112" s="420"/>
      <c r="K112" s="420"/>
      <c r="L112" s="420"/>
      <c r="M112" s="420"/>
      <c r="N112" s="420"/>
    </row>
    <row r="113" spans="1:14" s="306" customFormat="1" ht="23.25">
      <c r="A113" s="430" t="s">
        <v>1087</v>
      </c>
      <c r="B113" s="441" t="s">
        <v>951</v>
      </c>
      <c r="C113" s="371">
        <v>8</v>
      </c>
      <c r="D113" s="360"/>
      <c r="E113" s="305"/>
      <c r="F113" s="305"/>
      <c r="G113" s="305"/>
      <c r="H113" s="305"/>
      <c r="I113" s="305"/>
      <c r="J113" s="305"/>
      <c r="K113" s="305"/>
      <c r="L113" s="305"/>
      <c r="M113" s="305"/>
      <c r="N113" s="305"/>
    </row>
    <row r="114" spans="1:14" s="306" customFormat="1" ht="23.25">
      <c r="A114" s="430" t="s">
        <v>1088</v>
      </c>
      <c r="B114" s="441" t="s">
        <v>952</v>
      </c>
      <c r="C114" s="371">
        <v>8</v>
      </c>
      <c r="D114" s="360"/>
      <c r="E114" s="305"/>
      <c r="F114" s="305"/>
      <c r="G114" s="305"/>
      <c r="H114" s="305"/>
      <c r="I114" s="305"/>
      <c r="J114" s="305"/>
      <c r="K114" s="305"/>
      <c r="L114" s="305"/>
      <c r="M114" s="305"/>
      <c r="N114" s="305"/>
    </row>
    <row r="115" spans="1:14" s="421" customFormat="1" ht="23.25">
      <c r="A115" s="430" t="s">
        <v>1089</v>
      </c>
      <c r="B115" s="441" t="s">
        <v>953</v>
      </c>
      <c r="C115" s="371">
        <v>8</v>
      </c>
      <c r="D115" s="360"/>
      <c r="E115" s="420"/>
      <c r="F115" s="420"/>
      <c r="G115" s="420"/>
      <c r="H115" s="420"/>
      <c r="I115" s="420"/>
      <c r="J115" s="420"/>
      <c r="K115" s="420"/>
      <c r="L115" s="420"/>
      <c r="M115" s="420"/>
      <c r="N115" s="420"/>
    </row>
    <row r="116" spans="1:14" s="306" customFormat="1" ht="23.25">
      <c r="A116" s="430" t="s">
        <v>1090</v>
      </c>
      <c r="B116" s="441" t="s">
        <v>954</v>
      </c>
      <c r="C116" s="371">
        <v>8</v>
      </c>
      <c r="D116" s="360"/>
      <c r="E116" s="305"/>
      <c r="F116" s="305"/>
      <c r="G116" s="305"/>
      <c r="H116" s="305"/>
      <c r="I116" s="305"/>
      <c r="J116" s="305"/>
      <c r="K116" s="305"/>
      <c r="L116" s="305"/>
      <c r="M116" s="305"/>
      <c r="N116" s="305"/>
    </row>
    <row r="117" spans="1:14" s="306" customFormat="1" ht="23.25">
      <c r="A117" s="430" t="s">
        <v>1091</v>
      </c>
      <c r="B117" s="441" t="s">
        <v>955</v>
      </c>
      <c r="C117" s="371">
        <v>8</v>
      </c>
      <c r="D117" s="360"/>
      <c r="E117" s="305"/>
      <c r="F117" s="305"/>
      <c r="G117" s="305"/>
      <c r="H117" s="305"/>
      <c r="I117" s="305"/>
      <c r="J117" s="305"/>
      <c r="K117" s="305"/>
      <c r="L117" s="305"/>
      <c r="M117" s="305"/>
      <c r="N117" s="305"/>
    </row>
    <row r="118" spans="1:14" s="421" customFormat="1" ht="39">
      <c r="A118" s="430" t="s">
        <v>1092</v>
      </c>
      <c r="B118" s="441" t="s">
        <v>956</v>
      </c>
      <c r="C118" s="371">
        <v>8</v>
      </c>
      <c r="D118" s="360"/>
      <c r="E118" s="420"/>
      <c r="F118" s="420"/>
      <c r="G118" s="420"/>
      <c r="H118" s="420"/>
      <c r="I118" s="420"/>
      <c r="J118" s="420"/>
      <c r="K118" s="420"/>
      <c r="L118" s="420"/>
      <c r="M118" s="420"/>
      <c r="N118" s="420"/>
    </row>
    <row r="119" spans="1:14" s="306" customFormat="1" ht="23.25">
      <c r="A119" s="430" t="s">
        <v>1093</v>
      </c>
      <c r="B119" s="441" t="s">
        <v>957</v>
      </c>
      <c r="C119" s="371">
        <v>8</v>
      </c>
      <c r="D119" s="360"/>
      <c r="E119" s="305"/>
      <c r="F119" s="305"/>
      <c r="G119" s="305"/>
      <c r="H119" s="305"/>
      <c r="I119" s="305"/>
      <c r="J119" s="305"/>
      <c r="K119" s="305"/>
      <c r="L119" s="305"/>
      <c r="M119" s="305"/>
      <c r="N119" s="305"/>
    </row>
    <row r="120" spans="1:14" s="421" customFormat="1" ht="23.25">
      <c r="A120" s="430" t="s">
        <v>1094</v>
      </c>
      <c r="B120" s="439" t="s">
        <v>1176</v>
      </c>
      <c r="C120" s="371">
        <v>8</v>
      </c>
      <c r="D120" s="360"/>
      <c r="E120" s="420"/>
      <c r="F120" s="420"/>
      <c r="G120" s="420"/>
      <c r="H120" s="420"/>
      <c r="I120" s="420"/>
      <c r="J120" s="420"/>
      <c r="K120" s="420"/>
      <c r="L120" s="420"/>
      <c r="M120" s="420"/>
      <c r="N120" s="420"/>
    </row>
    <row r="121" spans="1:14" s="306" customFormat="1" ht="23.25">
      <c r="A121" s="430" t="s">
        <v>1095</v>
      </c>
      <c r="B121" s="441" t="s">
        <v>958</v>
      </c>
      <c r="C121" s="371">
        <v>8</v>
      </c>
      <c r="D121" s="360"/>
      <c r="E121" s="305"/>
      <c r="F121" s="305"/>
      <c r="G121" s="305"/>
      <c r="H121" s="305"/>
      <c r="I121" s="305"/>
      <c r="J121" s="305"/>
      <c r="K121" s="305"/>
      <c r="L121" s="305"/>
      <c r="M121" s="305"/>
      <c r="N121" s="305"/>
    </row>
    <row r="122" spans="1:14" s="421" customFormat="1" ht="39">
      <c r="A122" s="430" t="s">
        <v>1096</v>
      </c>
      <c r="B122" s="439" t="s">
        <v>959</v>
      </c>
      <c r="C122" s="371">
        <v>8</v>
      </c>
      <c r="D122" s="360"/>
      <c r="E122" s="420"/>
      <c r="F122" s="420"/>
      <c r="G122" s="420"/>
      <c r="H122" s="420"/>
      <c r="I122" s="420"/>
      <c r="J122" s="420"/>
      <c r="K122" s="420"/>
      <c r="L122" s="420"/>
      <c r="M122" s="420"/>
      <c r="N122" s="420"/>
    </row>
    <row r="123" spans="1:14" s="421" customFormat="1" ht="39">
      <c r="A123" s="430" t="s">
        <v>1097</v>
      </c>
      <c r="B123" s="439" t="s">
        <v>1098</v>
      </c>
      <c r="C123" s="371">
        <v>8</v>
      </c>
      <c r="D123" s="360"/>
      <c r="E123" s="420"/>
      <c r="F123" s="420"/>
      <c r="G123" s="420"/>
      <c r="H123" s="420"/>
      <c r="I123" s="420"/>
      <c r="J123" s="420"/>
      <c r="K123" s="420"/>
      <c r="L123" s="420"/>
      <c r="M123" s="420"/>
      <c r="N123" s="420"/>
    </row>
    <row r="124" spans="1:14" s="306" customFormat="1" ht="23.25">
      <c r="A124" s="430" t="s">
        <v>1099</v>
      </c>
      <c r="B124" s="439" t="s">
        <v>960</v>
      </c>
      <c r="C124" s="371">
        <v>8</v>
      </c>
      <c r="D124" s="360"/>
      <c r="E124" s="305"/>
      <c r="F124" s="305"/>
      <c r="G124" s="305"/>
      <c r="H124" s="305"/>
      <c r="I124" s="305"/>
      <c r="J124" s="305"/>
      <c r="K124" s="305"/>
      <c r="L124" s="305"/>
      <c r="M124" s="305"/>
      <c r="N124" s="305"/>
    </row>
    <row r="125" spans="1:14" s="306" customFormat="1" ht="39">
      <c r="A125" s="430" t="s">
        <v>1100</v>
      </c>
      <c r="B125" s="439" t="s">
        <v>961</v>
      </c>
      <c r="C125" s="371">
        <v>28</v>
      </c>
      <c r="D125" s="360"/>
      <c r="E125" s="305"/>
      <c r="F125" s="305"/>
      <c r="G125" s="305"/>
      <c r="H125" s="305"/>
      <c r="I125" s="305"/>
      <c r="J125" s="305"/>
      <c r="K125" s="305"/>
      <c r="L125" s="305"/>
      <c r="M125" s="305"/>
      <c r="N125" s="305"/>
    </row>
    <row r="126" spans="1:14" s="421" customFormat="1" ht="39">
      <c r="A126" s="430" t="s">
        <v>1101</v>
      </c>
      <c r="B126" s="439" t="s">
        <v>962</v>
      </c>
      <c r="C126" s="371">
        <v>8</v>
      </c>
      <c r="D126" s="360"/>
      <c r="E126" s="420"/>
      <c r="F126" s="420"/>
      <c r="G126" s="420"/>
      <c r="H126" s="420"/>
      <c r="I126" s="420"/>
      <c r="J126" s="420"/>
      <c r="K126" s="420"/>
      <c r="L126" s="420"/>
      <c r="M126" s="420"/>
      <c r="N126" s="420"/>
    </row>
    <row r="127" spans="1:14" s="306" customFormat="1" ht="60.75">
      <c r="A127" s="430" t="s">
        <v>1102</v>
      </c>
      <c r="B127" s="439" t="s">
        <v>997</v>
      </c>
      <c r="C127" s="371">
        <v>8</v>
      </c>
      <c r="D127" s="360"/>
      <c r="E127" s="305"/>
      <c r="F127" s="305"/>
      <c r="G127" s="305"/>
      <c r="H127" s="305"/>
      <c r="I127" s="305"/>
      <c r="J127" s="305"/>
      <c r="K127" s="305"/>
      <c r="L127" s="305"/>
      <c r="M127" s="305"/>
      <c r="N127" s="305"/>
    </row>
    <row r="128" spans="1:14" s="306" customFormat="1" ht="39">
      <c r="A128" s="430" t="s">
        <v>1103</v>
      </c>
      <c r="B128" s="439" t="s">
        <v>963</v>
      </c>
      <c r="C128" s="371">
        <v>8</v>
      </c>
      <c r="D128" s="360"/>
      <c r="E128" s="305"/>
      <c r="F128" s="305"/>
      <c r="G128" s="305"/>
      <c r="H128" s="305"/>
      <c r="I128" s="305"/>
      <c r="J128" s="305"/>
      <c r="K128" s="305"/>
      <c r="L128" s="305"/>
      <c r="M128" s="305"/>
      <c r="N128" s="305"/>
    </row>
    <row r="129" spans="1:14" s="421" customFormat="1" ht="39">
      <c r="A129" s="430" t="s">
        <v>1104</v>
      </c>
      <c r="B129" s="441" t="s">
        <v>964</v>
      </c>
      <c r="C129" s="371">
        <v>8</v>
      </c>
      <c r="D129" s="360"/>
      <c r="E129" s="420"/>
      <c r="F129" s="420"/>
      <c r="G129" s="420"/>
      <c r="H129" s="420"/>
      <c r="I129" s="420"/>
      <c r="J129" s="420"/>
      <c r="K129" s="420"/>
      <c r="L129" s="420"/>
      <c r="M129" s="420"/>
      <c r="N129" s="420"/>
    </row>
    <row r="130" spans="1:14" s="306" customFormat="1" ht="39">
      <c r="A130" s="430" t="s">
        <v>1105</v>
      </c>
      <c r="B130" s="441" t="s">
        <v>965</v>
      </c>
      <c r="C130" s="371">
        <v>45</v>
      </c>
      <c r="D130" s="360"/>
      <c r="E130" s="305"/>
      <c r="F130" s="305"/>
      <c r="G130" s="305"/>
      <c r="H130" s="305"/>
      <c r="I130" s="305"/>
      <c r="J130" s="305"/>
      <c r="K130" s="305"/>
      <c r="L130" s="305"/>
      <c r="M130" s="305"/>
      <c r="N130" s="305"/>
    </row>
    <row r="131" spans="1:14" s="306" customFormat="1" ht="23.25">
      <c r="A131" s="430" t="s">
        <v>1106</v>
      </c>
      <c r="B131" s="441" t="s">
        <v>966</v>
      </c>
      <c r="C131" s="371">
        <v>10</v>
      </c>
      <c r="D131" s="360"/>
      <c r="E131" s="305"/>
      <c r="F131" s="305"/>
      <c r="G131" s="305"/>
      <c r="H131" s="305"/>
      <c r="I131" s="305"/>
      <c r="J131" s="305"/>
      <c r="K131" s="305"/>
      <c r="L131" s="305"/>
      <c r="M131" s="305"/>
      <c r="N131" s="305"/>
    </row>
    <row r="132" spans="1:14" s="421" customFormat="1" ht="39">
      <c r="A132" s="430" t="s">
        <v>1107</v>
      </c>
      <c r="B132" s="441" t="s">
        <v>967</v>
      </c>
      <c r="C132" s="371">
        <v>10</v>
      </c>
      <c r="D132" s="360"/>
      <c r="E132" s="420"/>
      <c r="F132" s="420"/>
      <c r="G132" s="420"/>
      <c r="H132" s="420"/>
      <c r="I132" s="420"/>
      <c r="J132" s="420"/>
      <c r="K132" s="420"/>
      <c r="L132" s="420"/>
      <c r="M132" s="420"/>
      <c r="N132" s="420"/>
    </row>
    <row r="133" spans="1:14" s="306" customFormat="1" ht="23.25">
      <c r="A133" s="430" t="s">
        <v>1108</v>
      </c>
      <c r="B133" s="441" t="s">
        <v>1109</v>
      </c>
      <c r="C133" s="371">
        <v>7.25</v>
      </c>
      <c r="D133" s="360"/>
      <c r="E133" s="305"/>
      <c r="F133" s="305"/>
      <c r="G133" s="305"/>
      <c r="H133" s="305"/>
      <c r="I133" s="305"/>
      <c r="J133" s="305"/>
      <c r="K133" s="305"/>
      <c r="L133" s="305"/>
      <c r="M133" s="305"/>
      <c r="N133" s="305"/>
    </row>
    <row r="134" spans="1:14" s="306" customFormat="1" ht="39">
      <c r="A134" s="429">
        <v>3</v>
      </c>
      <c r="B134" s="441" t="s">
        <v>968</v>
      </c>
      <c r="C134" s="371"/>
      <c r="D134" s="360"/>
      <c r="E134" s="305"/>
      <c r="F134" s="305"/>
      <c r="G134" s="305"/>
      <c r="H134" s="305"/>
      <c r="I134" s="305"/>
      <c r="J134" s="305"/>
      <c r="K134" s="305"/>
      <c r="L134" s="305"/>
      <c r="M134" s="305"/>
      <c r="N134" s="305"/>
    </row>
    <row r="135" spans="1:14" s="421" customFormat="1" ht="39">
      <c r="A135" s="430" t="s">
        <v>1110</v>
      </c>
      <c r="B135" s="441" t="s">
        <v>969</v>
      </c>
      <c r="C135" s="371">
        <v>8</v>
      </c>
      <c r="D135" s="360"/>
      <c r="E135" s="420"/>
      <c r="F135" s="420"/>
      <c r="G135" s="420"/>
      <c r="H135" s="420"/>
      <c r="I135" s="420"/>
      <c r="J135" s="420"/>
      <c r="K135" s="420"/>
      <c r="L135" s="420"/>
      <c r="M135" s="420"/>
      <c r="N135" s="420"/>
    </row>
    <row r="136" spans="1:14" s="306" customFormat="1" ht="30.75">
      <c r="A136" s="466">
        <v>1</v>
      </c>
      <c r="B136" s="447" t="s">
        <v>970</v>
      </c>
      <c r="C136" s="371"/>
      <c r="D136" s="360"/>
      <c r="E136" s="305"/>
      <c r="F136" s="305"/>
      <c r="G136" s="305"/>
      <c r="H136" s="305"/>
      <c r="I136" s="305"/>
      <c r="J136" s="305"/>
      <c r="K136" s="305"/>
      <c r="L136" s="305"/>
      <c r="M136" s="305"/>
      <c r="N136" s="305"/>
    </row>
    <row r="137" spans="1:14" s="306" customFormat="1" ht="44.25">
      <c r="A137" s="430" t="s">
        <v>1112</v>
      </c>
      <c r="B137" s="441" t="s">
        <v>1111</v>
      </c>
      <c r="C137" s="371">
        <v>25</v>
      </c>
      <c r="D137" s="360"/>
      <c r="E137" s="305"/>
      <c r="F137" s="305"/>
      <c r="G137" s="305"/>
      <c r="H137" s="305"/>
      <c r="I137" s="305"/>
      <c r="J137" s="305"/>
      <c r="K137" s="305"/>
      <c r="L137" s="305"/>
      <c r="M137" s="305"/>
      <c r="N137" s="305"/>
    </row>
    <row r="138" spans="1:14" s="421" customFormat="1" ht="39">
      <c r="A138" s="430" t="s">
        <v>1113</v>
      </c>
      <c r="B138" s="441" t="s">
        <v>971</v>
      </c>
      <c r="C138" s="371">
        <v>60</v>
      </c>
      <c r="D138" s="360"/>
      <c r="E138" s="420"/>
      <c r="F138" s="420"/>
      <c r="G138" s="420"/>
      <c r="H138" s="420"/>
      <c r="I138" s="420"/>
      <c r="J138" s="420"/>
      <c r="K138" s="420"/>
      <c r="L138" s="420"/>
      <c r="M138" s="420"/>
      <c r="N138" s="420"/>
    </row>
    <row r="139" spans="1:14" s="306" customFormat="1" ht="39">
      <c r="A139" s="430" t="s">
        <v>1114</v>
      </c>
      <c r="B139" s="441" t="s">
        <v>972</v>
      </c>
      <c r="C139" s="371">
        <v>71.5</v>
      </c>
      <c r="D139" s="360"/>
      <c r="E139" s="305"/>
      <c r="F139" s="305"/>
      <c r="G139" s="305"/>
      <c r="H139" s="305"/>
      <c r="I139" s="305"/>
      <c r="J139" s="305"/>
      <c r="K139" s="305"/>
      <c r="L139" s="305"/>
      <c r="M139" s="305"/>
      <c r="N139" s="305"/>
    </row>
    <row r="140" spans="1:14" s="306" customFormat="1" ht="39">
      <c r="A140" s="430" t="s">
        <v>1116</v>
      </c>
      <c r="B140" s="441" t="s">
        <v>973</v>
      </c>
      <c r="C140" s="371">
        <v>30</v>
      </c>
      <c r="D140" s="360"/>
      <c r="E140" s="305"/>
      <c r="F140" s="305"/>
      <c r="G140" s="305"/>
      <c r="H140" s="305"/>
      <c r="I140" s="305"/>
      <c r="J140" s="305"/>
      <c r="K140" s="305"/>
      <c r="L140" s="305"/>
      <c r="M140" s="305"/>
      <c r="N140" s="305"/>
    </row>
    <row r="141" spans="1:14" s="421" customFormat="1" ht="39">
      <c r="A141" s="430" t="s">
        <v>1117</v>
      </c>
      <c r="B141" s="441" t="s">
        <v>974</v>
      </c>
      <c r="C141" s="371">
        <v>5</v>
      </c>
      <c r="D141" s="360"/>
      <c r="E141" s="420"/>
      <c r="F141" s="420"/>
      <c r="G141" s="420"/>
      <c r="H141" s="420"/>
      <c r="I141" s="420"/>
      <c r="J141" s="420"/>
      <c r="K141" s="420"/>
      <c r="L141" s="420"/>
      <c r="M141" s="420"/>
      <c r="N141" s="420"/>
    </row>
    <row r="142" spans="1:14" s="306" customFormat="1" ht="39">
      <c r="A142" s="430" t="s">
        <v>1118</v>
      </c>
      <c r="B142" s="441" t="s">
        <v>975</v>
      </c>
      <c r="C142" s="371">
        <v>40</v>
      </c>
      <c r="D142" s="360"/>
      <c r="E142" s="305"/>
      <c r="F142" s="305"/>
      <c r="G142" s="305"/>
      <c r="H142" s="305"/>
      <c r="I142" s="305"/>
      <c r="J142" s="305"/>
      <c r="K142" s="305"/>
      <c r="L142" s="305"/>
      <c r="M142" s="305"/>
      <c r="N142" s="305"/>
    </row>
    <row r="143" spans="1:14" s="306" customFormat="1" ht="39">
      <c r="A143" s="430" t="s">
        <v>1119</v>
      </c>
      <c r="B143" s="441" t="s">
        <v>976</v>
      </c>
      <c r="C143" s="371">
        <v>20</v>
      </c>
      <c r="D143" s="360"/>
      <c r="E143" s="305"/>
      <c r="F143" s="305"/>
      <c r="G143" s="305"/>
      <c r="H143" s="305"/>
      <c r="I143" s="305"/>
      <c r="J143" s="305"/>
      <c r="K143" s="305"/>
      <c r="L143" s="305"/>
      <c r="M143" s="305"/>
      <c r="N143" s="305"/>
    </row>
    <row r="144" spans="1:14" s="421" customFormat="1" ht="39">
      <c r="A144" s="430" t="s">
        <v>1115</v>
      </c>
      <c r="B144" s="441" t="s">
        <v>977</v>
      </c>
      <c r="C144" s="371">
        <v>40</v>
      </c>
      <c r="D144" s="360"/>
      <c r="E144" s="420"/>
      <c r="F144" s="420"/>
      <c r="G144" s="420"/>
      <c r="H144" s="420"/>
      <c r="I144" s="420"/>
      <c r="J144" s="420"/>
      <c r="K144" s="420"/>
      <c r="L144" s="420"/>
      <c r="M144" s="420"/>
      <c r="N144" s="420"/>
    </row>
    <row r="145" spans="1:14" s="306" customFormat="1" ht="39">
      <c r="A145" s="430" t="s">
        <v>1120</v>
      </c>
      <c r="B145" s="441" t="s">
        <v>978</v>
      </c>
      <c r="C145" s="371">
        <v>20</v>
      </c>
      <c r="D145" s="360"/>
      <c r="E145" s="305"/>
      <c r="F145" s="305"/>
      <c r="G145" s="305"/>
      <c r="H145" s="305"/>
      <c r="I145" s="305"/>
      <c r="J145" s="305"/>
      <c r="K145" s="305"/>
      <c r="L145" s="305"/>
      <c r="M145" s="305"/>
      <c r="N145" s="305"/>
    </row>
    <row r="146" spans="1:14" s="306" customFormat="1" ht="39">
      <c r="A146" s="430" t="s">
        <v>1121</v>
      </c>
      <c r="B146" s="441" t="s">
        <v>979</v>
      </c>
      <c r="C146" s="371">
        <v>40</v>
      </c>
      <c r="D146" s="360"/>
      <c r="E146" s="305"/>
      <c r="F146" s="305"/>
      <c r="G146" s="305"/>
      <c r="H146" s="305"/>
      <c r="I146" s="305"/>
      <c r="J146" s="305"/>
      <c r="K146" s="305"/>
      <c r="L146" s="305"/>
      <c r="M146" s="305"/>
      <c r="N146" s="305"/>
    </row>
    <row r="147" spans="1:14" s="421" customFormat="1" ht="39">
      <c r="A147" s="430" t="s">
        <v>1122</v>
      </c>
      <c r="B147" s="441" t="s">
        <v>980</v>
      </c>
      <c r="C147" s="371">
        <v>14.5</v>
      </c>
      <c r="D147" s="360"/>
      <c r="E147" s="420"/>
      <c r="F147" s="420"/>
      <c r="G147" s="420"/>
      <c r="H147" s="420"/>
      <c r="I147" s="420"/>
      <c r="J147" s="420"/>
      <c r="K147" s="420"/>
      <c r="L147" s="420"/>
      <c r="M147" s="420"/>
      <c r="N147" s="420"/>
    </row>
    <row r="148" spans="1:14" s="306" customFormat="1" ht="24">
      <c r="A148" s="448">
        <v>2</v>
      </c>
      <c r="B148" s="449" t="s">
        <v>981</v>
      </c>
      <c r="C148" s="371"/>
      <c r="D148" s="360"/>
      <c r="E148" s="305"/>
      <c r="F148" s="305"/>
      <c r="G148" s="305"/>
      <c r="H148" s="305"/>
      <c r="I148" s="305"/>
      <c r="J148" s="305"/>
      <c r="K148" s="305"/>
      <c r="L148" s="305"/>
      <c r="M148" s="305"/>
      <c r="N148" s="305"/>
    </row>
    <row r="149" spans="1:14" s="306" customFormat="1" ht="23.25">
      <c r="A149" s="412" t="s">
        <v>1123</v>
      </c>
      <c r="B149" s="441" t="s">
        <v>966</v>
      </c>
      <c r="C149" s="371">
        <v>8</v>
      </c>
      <c r="D149" s="360"/>
      <c r="E149" s="305"/>
      <c r="F149" s="305"/>
      <c r="G149" s="305"/>
      <c r="H149" s="305"/>
      <c r="I149" s="305"/>
      <c r="J149" s="305"/>
      <c r="K149" s="305"/>
      <c r="L149" s="305"/>
      <c r="M149" s="305"/>
      <c r="N149" s="305"/>
    </row>
    <row r="150" spans="1:14" s="421" customFormat="1" ht="39">
      <c r="A150" s="412" t="s">
        <v>1124</v>
      </c>
      <c r="B150" s="441" t="s">
        <v>982</v>
      </c>
      <c r="C150" s="371">
        <v>15</v>
      </c>
      <c r="D150" s="360"/>
      <c r="E150" s="420"/>
      <c r="F150" s="420"/>
      <c r="G150" s="420"/>
      <c r="H150" s="420"/>
      <c r="I150" s="420"/>
      <c r="J150" s="420"/>
      <c r="K150" s="420"/>
      <c r="L150" s="420"/>
      <c r="M150" s="420"/>
      <c r="N150" s="420"/>
    </row>
    <row r="151" spans="1:14" s="306" customFormat="1" ht="58.5">
      <c r="A151" s="412" t="s">
        <v>1125</v>
      </c>
      <c r="B151" s="441" t="s">
        <v>983</v>
      </c>
      <c r="C151" s="371">
        <v>5</v>
      </c>
      <c r="D151" s="360"/>
      <c r="E151" s="305"/>
      <c r="F151" s="305"/>
      <c r="G151" s="305"/>
      <c r="H151" s="305"/>
      <c r="I151" s="305"/>
      <c r="J151" s="305"/>
      <c r="K151" s="305"/>
      <c r="L151" s="305"/>
      <c r="M151" s="305"/>
      <c r="N151" s="305"/>
    </row>
    <row r="152" spans="1:14" s="306" customFormat="1" ht="58.5">
      <c r="A152" s="412" t="s">
        <v>1126</v>
      </c>
      <c r="B152" s="441" t="s">
        <v>984</v>
      </c>
      <c r="C152" s="371">
        <v>5</v>
      </c>
      <c r="D152" s="360"/>
      <c r="E152" s="305"/>
      <c r="F152" s="305"/>
      <c r="G152" s="305"/>
      <c r="H152" s="305"/>
      <c r="I152" s="305"/>
      <c r="J152" s="305"/>
      <c r="K152" s="305"/>
      <c r="L152" s="305"/>
      <c r="M152" s="305"/>
      <c r="N152" s="305"/>
    </row>
    <row r="153" spans="1:14" s="421" customFormat="1" ht="78">
      <c r="A153" s="412" t="s">
        <v>1128</v>
      </c>
      <c r="B153" s="441" t="s">
        <v>985</v>
      </c>
      <c r="C153" s="371">
        <v>5</v>
      </c>
      <c r="D153" s="360"/>
      <c r="E153" s="420"/>
      <c r="F153" s="420"/>
      <c r="G153" s="420"/>
      <c r="H153" s="420"/>
      <c r="I153" s="420"/>
      <c r="J153" s="420"/>
      <c r="K153" s="420"/>
      <c r="L153" s="420"/>
      <c r="M153" s="420"/>
      <c r="N153" s="420"/>
    </row>
    <row r="154" spans="1:14" s="306" customFormat="1" ht="58.5">
      <c r="A154" s="412" t="s">
        <v>1129</v>
      </c>
      <c r="B154" s="441" t="s">
        <v>986</v>
      </c>
      <c r="C154" s="371">
        <v>5</v>
      </c>
      <c r="D154" s="360"/>
      <c r="E154" s="305"/>
      <c r="F154" s="305"/>
      <c r="G154" s="305"/>
      <c r="H154" s="305"/>
      <c r="I154" s="305"/>
      <c r="J154" s="305"/>
      <c r="K154" s="305"/>
      <c r="L154" s="305"/>
      <c r="M154" s="305"/>
      <c r="N154" s="305"/>
    </row>
    <row r="155" spans="1:14" s="306" customFormat="1" ht="39">
      <c r="A155" s="412" t="s">
        <v>1130</v>
      </c>
      <c r="B155" s="441" t="s">
        <v>987</v>
      </c>
      <c r="C155" s="371">
        <v>10</v>
      </c>
      <c r="D155" s="360"/>
      <c r="E155" s="305"/>
      <c r="F155" s="305"/>
      <c r="G155" s="305"/>
      <c r="H155" s="305"/>
      <c r="I155" s="305"/>
      <c r="J155" s="305"/>
      <c r="K155" s="305"/>
      <c r="L155" s="305"/>
      <c r="M155" s="305"/>
      <c r="N155" s="305"/>
    </row>
    <row r="156" spans="1:14" s="421" customFormat="1" ht="39">
      <c r="A156" s="412" t="s">
        <v>1131</v>
      </c>
      <c r="B156" s="441" t="s">
        <v>988</v>
      </c>
      <c r="C156" s="371">
        <v>5</v>
      </c>
      <c r="D156" s="360"/>
      <c r="E156" s="420"/>
      <c r="F156" s="420"/>
      <c r="G156" s="420"/>
      <c r="H156" s="420"/>
      <c r="I156" s="420"/>
      <c r="J156" s="420"/>
      <c r="K156" s="420"/>
      <c r="L156" s="420"/>
      <c r="M156" s="420"/>
      <c r="N156" s="420"/>
    </row>
    <row r="157" spans="1:14" s="306" customFormat="1" ht="39">
      <c r="A157" s="412" t="s">
        <v>1127</v>
      </c>
      <c r="B157" s="441" t="s">
        <v>989</v>
      </c>
      <c r="C157" s="371">
        <v>5</v>
      </c>
      <c r="D157" s="360"/>
      <c r="E157" s="305"/>
      <c r="F157" s="305"/>
      <c r="G157" s="305"/>
      <c r="H157" s="305"/>
      <c r="I157" s="305"/>
      <c r="J157" s="305"/>
      <c r="K157" s="305"/>
      <c r="L157" s="305"/>
      <c r="M157" s="305"/>
      <c r="N157" s="305"/>
    </row>
    <row r="158" spans="1:14" s="306" customFormat="1" ht="58.5">
      <c r="A158" s="412" t="s">
        <v>1132</v>
      </c>
      <c r="B158" s="441" t="s">
        <v>990</v>
      </c>
      <c r="C158" s="371">
        <v>5</v>
      </c>
      <c r="D158" s="360"/>
      <c r="E158" s="305"/>
      <c r="F158" s="305"/>
      <c r="G158" s="305"/>
      <c r="H158" s="305"/>
      <c r="I158" s="305"/>
      <c r="J158" s="305"/>
      <c r="K158" s="305"/>
      <c r="L158" s="305"/>
      <c r="M158" s="305"/>
      <c r="N158" s="305"/>
    </row>
    <row r="159" spans="1:14" s="421" customFormat="1" ht="39">
      <c r="A159" s="412" t="s">
        <v>1133</v>
      </c>
      <c r="B159" s="441" t="s">
        <v>991</v>
      </c>
      <c r="C159" s="371">
        <v>6.42</v>
      </c>
      <c r="D159" s="360"/>
      <c r="E159" s="420"/>
      <c r="F159" s="420"/>
      <c r="G159" s="420"/>
      <c r="H159" s="420"/>
      <c r="I159" s="420"/>
      <c r="J159" s="420"/>
      <c r="K159" s="420"/>
      <c r="L159" s="420"/>
      <c r="M159" s="420"/>
      <c r="N159" s="420"/>
    </row>
    <row r="160" spans="1:14" s="306" customFormat="1" ht="39">
      <c r="A160" s="412" t="s">
        <v>1134</v>
      </c>
      <c r="B160" s="441" t="s">
        <v>992</v>
      </c>
      <c r="C160" s="371">
        <v>5.5</v>
      </c>
      <c r="D160" s="360"/>
      <c r="E160" s="305"/>
      <c r="F160" s="305"/>
      <c r="G160" s="305"/>
      <c r="H160" s="305"/>
      <c r="I160" s="305"/>
      <c r="J160" s="305"/>
      <c r="K160" s="305"/>
      <c r="L160" s="305"/>
      <c r="M160" s="305"/>
      <c r="N160" s="305"/>
    </row>
    <row r="161" spans="1:14" s="306" customFormat="1" ht="39">
      <c r="A161" s="412" t="s">
        <v>1135</v>
      </c>
      <c r="B161" s="441" t="s">
        <v>993</v>
      </c>
      <c r="C161" s="371">
        <v>8.5</v>
      </c>
      <c r="D161" s="360"/>
      <c r="E161" s="305"/>
      <c r="F161" s="305"/>
      <c r="G161" s="305"/>
      <c r="H161" s="305"/>
      <c r="I161" s="305"/>
      <c r="J161" s="305"/>
      <c r="K161" s="305"/>
      <c r="L161" s="305"/>
      <c r="M161" s="305"/>
      <c r="N161" s="305"/>
    </row>
    <row r="162" spans="1:14" s="421" customFormat="1" ht="39">
      <c r="A162" s="412" t="s">
        <v>1136</v>
      </c>
      <c r="B162" s="441" t="s">
        <v>994</v>
      </c>
      <c r="C162" s="371">
        <v>8</v>
      </c>
      <c r="D162" s="360"/>
      <c r="E162" s="420"/>
      <c r="F162" s="420"/>
      <c r="G162" s="420"/>
      <c r="H162" s="420"/>
      <c r="I162" s="420"/>
      <c r="J162" s="420"/>
      <c r="K162" s="420"/>
      <c r="L162" s="420"/>
      <c r="M162" s="420"/>
      <c r="N162" s="420"/>
    </row>
    <row r="163" spans="1:14" s="306" customFormat="1" ht="58.5">
      <c r="A163" s="412" t="s">
        <v>1137</v>
      </c>
      <c r="B163" s="441" t="s">
        <v>995</v>
      </c>
      <c r="C163" s="371">
        <v>14.5</v>
      </c>
      <c r="D163" s="360"/>
      <c r="E163" s="305"/>
      <c r="F163" s="305"/>
      <c r="G163" s="305"/>
      <c r="H163" s="305"/>
      <c r="I163" s="305"/>
      <c r="J163" s="305"/>
      <c r="K163" s="305"/>
      <c r="L163" s="305"/>
      <c r="M163" s="305"/>
      <c r="N163" s="305"/>
    </row>
    <row r="164" spans="1:14" s="453" customFormat="1" ht="29.45" customHeight="1">
      <c r="A164" s="471" t="s">
        <v>826</v>
      </c>
      <c r="B164" s="414"/>
      <c r="C164" s="455">
        <f>SUM(C23:C163)</f>
        <v>1686.8000000000002</v>
      </c>
      <c r="D164" s="456"/>
      <c r="E164" s="452" t="e">
        <f>#REF!*100000</f>
        <v>#REF!</v>
      </c>
      <c r="F164" s="452"/>
      <c r="G164" s="452"/>
      <c r="H164" s="452"/>
      <c r="I164" s="452"/>
      <c r="J164" s="452"/>
      <c r="K164" s="452"/>
      <c r="L164" s="452"/>
      <c r="M164" s="452"/>
      <c r="N164" s="452"/>
    </row>
    <row r="165" spans="1:14" s="306" customFormat="1" ht="23.25">
      <c r="A165" s="413"/>
      <c r="B165" s="423" t="s">
        <v>827</v>
      </c>
      <c r="C165" s="371"/>
      <c r="D165" s="360"/>
      <c r="E165" s="305"/>
      <c r="F165" s="305"/>
      <c r="G165" s="305"/>
      <c r="H165" s="305"/>
      <c r="I165" s="305"/>
      <c r="J165" s="305"/>
      <c r="K165" s="305"/>
      <c r="L165" s="305"/>
      <c r="M165" s="305"/>
      <c r="N165" s="305"/>
    </row>
    <row r="166" spans="1:14" s="421" customFormat="1" ht="23.25">
      <c r="A166" s="436" t="s">
        <v>1139</v>
      </c>
      <c r="B166" s="467" t="s">
        <v>828</v>
      </c>
      <c r="C166" s="371">
        <v>9.7200000000000006</v>
      </c>
      <c r="D166" s="360"/>
      <c r="E166" s="420"/>
      <c r="F166" s="420"/>
      <c r="G166" s="420"/>
      <c r="H166" s="420"/>
      <c r="I166" s="420"/>
      <c r="J166" s="420"/>
      <c r="K166" s="420"/>
      <c r="L166" s="420"/>
      <c r="M166" s="420"/>
      <c r="N166" s="420"/>
    </row>
    <row r="167" spans="1:14" s="306" customFormat="1" ht="23.25">
      <c r="A167" s="436" t="s">
        <v>843</v>
      </c>
      <c r="B167" s="467" t="s">
        <v>844</v>
      </c>
      <c r="C167" s="371">
        <v>0.36</v>
      </c>
      <c r="D167" s="360"/>
      <c r="E167" s="305"/>
      <c r="F167" s="305"/>
      <c r="G167" s="305"/>
      <c r="H167" s="305"/>
      <c r="I167" s="305"/>
      <c r="J167" s="305"/>
      <c r="K167" s="305"/>
      <c r="L167" s="305"/>
      <c r="M167" s="305"/>
      <c r="N167" s="305"/>
    </row>
    <row r="168" spans="1:14" s="306" customFormat="1" ht="23.25">
      <c r="A168" s="436" t="s">
        <v>1141</v>
      </c>
      <c r="B168" s="467" t="s">
        <v>1140</v>
      </c>
      <c r="C168" s="371">
        <v>9.23</v>
      </c>
      <c r="D168" s="360"/>
      <c r="E168" s="305"/>
      <c r="F168" s="305"/>
      <c r="G168" s="305"/>
      <c r="H168" s="305"/>
      <c r="I168" s="305"/>
      <c r="J168" s="305"/>
      <c r="K168" s="305"/>
      <c r="L168" s="305"/>
      <c r="M168" s="305"/>
      <c r="N168" s="305"/>
    </row>
    <row r="169" spans="1:14" s="306" customFormat="1" ht="23.25">
      <c r="A169" s="450" t="s">
        <v>829</v>
      </c>
      <c r="B169" s="467" t="s">
        <v>830</v>
      </c>
      <c r="C169" s="371">
        <v>26.25</v>
      </c>
      <c r="D169" s="360"/>
      <c r="E169" s="305"/>
      <c r="F169" s="305"/>
      <c r="G169" s="305"/>
      <c r="H169" s="305"/>
      <c r="I169" s="305"/>
      <c r="J169" s="305"/>
      <c r="K169" s="305"/>
      <c r="L169" s="305"/>
      <c r="M169" s="305"/>
      <c r="N169" s="305"/>
    </row>
    <row r="170" spans="1:14" s="306" customFormat="1" ht="23.25">
      <c r="A170" s="436" t="s">
        <v>831</v>
      </c>
      <c r="B170" s="467" t="s">
        <v>832</v>
      </c>
      <c r="C170" s="371">
        <v>24.43</v>
      </c>
      <c r="D170" s="360"/>
      <c r="E170" s="305"/>
      <c r="F170" s="305"/>
      <c r="G170" s="305"/>
      <c r="H170" s="305"/>
      <c r="I170" s="305"/>
      <c r="J170" s="305"/>
      <c r="K170" s="305"/>
      <c r="L170" s="305"/>
      <c r="M170" s="305"/>
      <c r="N170" s="305"/>
    </row>
    <row r="171" spans="1:14" s="306" customFormat="1" ht="23.25">
      <c r="A171" s="436" t="s">
        <v>833</v>
      </c>
      <c r="B171" s="467" t="s">
        <v>834</v>
      </c>
      <c r="C171" s="371">
        <v>34.9</v>
      </c>
      <c r="D171" s="360"/>
      <c r="E171" s="305"/>
      <c r="F171" s="305"/>
      <c r="G171" s="305"/>
      <c r="H171" s="305"/>
      <c r="I171" s="305"/>
      <c r="J171" s="305"/>
      <c r="K171" s="305"/>
      <c r="L171" s="305"/>
      <c r="M171" s="305"/>
      <c r="N171" s="305"/>
    </row>
    <row r="172" spans="1:14" s="306" customFormat="1" ht="23.25">
      <c r="A172" s="436" t="s">
        <v>1142</v>
      </c>
      <c r="B172" s="467" t="s">
        <v>1143</v>
      </c>
      <c r="C172" s="371">
        <v>0</v>
      </c>
      <c r="D172" s="360"/>
      <c r="E172" s="305"/>
      <c r="F172" s="305"/>
      <c r="G172" s="305"/>
      <c r="H172" s="305"/>
      <c r="I172" s="305"/>
      <c r="J172" s="305"/>
      <c r="K172" s="305"/>
      <c r="L172" s="305"/>
      <c r="M172" s="305"/>
      <c r="N172" s="305"/>
    </row>
    <row r="173" spans="1:14" s="306" customFormat="1" ht="23.25">
      <c r="A173" s="436" t="s">
        <v>1144</v>
      </c>
      <c r="B173" s="467" t="s">
        <v>835</v>
      </c>
      <c r="C173" s="371">
        <v>5.6</v>
      </c>
      <c r="D173" s="360"/>
      <c r="E173" s="305"/>
      <c r="F173" s="305"/>
      <c r="G173" s="305"/>
      <c r="H173" s="305"/>
      <c r="I173" s="305"/>
      <c r="J173" s="305"/>
      <c r="K173" s="305"/>
      <c r="L173" s="305"/>
      <c r="M173" s="305"/>
      <c r="N173" s="305"/>
    </row>
    <row r="174" spans="1:14" s="306" customFormat="1" ht="23.25">
      <c r="A174" s="436" t="s">
        <v>845</v>
      </c>
      <c r="B174" s="467" t="s">
        <v>846</v>
      </c>
      <c r="C174" s="371">
        <v>3</v>
      </c>
      <c r="D174" s="360"/>
      <c r="E174" s="305"/>
      <c r="F174" s="305"/>
      <c r="G174" s="305"/>
      <c r="H174" s="305"/>
      <c r="I174" s="305"/>
      <c r="J174" s="305"/>
      <c r="K174" s="305"/>
      <c r="L174" s="305"/>
      <c r="M174" s="305"/>
      <c r="N174" s="305"/>
    </row>
    <row r="175" spans="1:14" s="306" customFormat="1" ht="23.25">
      <c r="A175" s="436" t="s">
        <v>1146</v>
      </c>
      <c r="B175" s="467" t="s">
        <v>1145</v>
      </c>
      <c r="C175" s="371">
        <v>0.24</v>
      </c>
      <c r="D175" s="360"/>
      <c r="E175" s="305"/>
      <c r="F175" s="305"/>
      <c r="G175" s="305"/>
      <c r="H175" s="305"/>
      <c r="I175" s="305"/>
      <c r="J175" s="305"/>
      <c r="K175" s="305"/>
      <c r="L175" s="305"/>
      <c r="M175" s="305"/>
      <c r="N175" s="305"/>
    </row>
    <row r="176" spans="1:14" s="306" customFormat="1" ht="23.25">
      <c r="A176" s="436" t="s">
        <v>1147</v>
      </c>
      <c r="B176" s="467" t="s">
        <v>854</v>
      </c>
      <c r="C176" s="371">
        <v>1.8</v>
      </c>
      <c r="D176" s="360"/>
      <c r="E176" s="305"/>
      <c r="F176" s="305"/>
      <c r="G176" s="305"/>
      <c r="H176" s="305"/>
      <c r="I176" s="305"/>
      <c r="J176" s="305"/>
      <c r="K176" s="305"/>
      <c r="L176" s="305"/>
      <c r="M176" s="305"/>
      <c r="N176" s="305"/>
    </row>
    <row r="177" spans="1:14" s="306" customFormat="1" ht="23.25">
      <c r="A177" s="436" t="s">
        <v>847</v>
      </c>
      <c r="B177" s="467" t="s">
        <v>848</v>
      </c>
      <c r="C177" s="371">
        <v>0.24</v>
      </c>
      <c r="D177" s="360"/>
      <c r="E177" s="305"/>
      <c r="F177" s="305"/>
      <c r="G177" s="305"/>
      <c r="H177" s="305"/>
      <c r="I177" s="305"/>
      <c r="J177" s="305"/>
      <c r="K177" s="305"/>
      <c r="L177" s="305"/>
      <c r="M177" s="305"/>
      <c r="N177" s="305"/>
    </row>
    <row r="178" spans="1:14" s="306" customFormat="1" ht="23.25">
      <c r="A178" s="436" t="s">
        <v>849</v>
      </c>
      <c r="B178" s="467" t="s">
        <v>850</v>
      </c>
      <c r="C178" s="371">
        <v>2.52</v>
      </c>
      <c r="D178" s="360"/>
      <c r="E178" s="305"/>
      <c r="F178" s="305"/>
      <c r="G178" s="305"/>
      <c r="H178" s="305"/>
      <c r="I178" s="305"/>
      <c r="J178" s="305"/>
      <c r="K178" s="305"/>
      <c r="L178" s="305"/>
      <c r="M178" s="305"/>
      <c r="N178" s="305"/>
    </row>
    <row r="179" spans="1:14" s="306" customFormat="1" ht="23.25">
      <c r="A179" s="436" t="s">
        <v>837</v>
      </c>
      <c r="B179" s="467" t="s">
        <v>838</v>
      </c>
      <c r="C179" s="371">
        <v>3.36</v>
      </c>
      <c r="D179" s="360"/>
      <c r="E179" s="305"/>
      <c r="F179" s="305"/>
      <c r="G179" s="305"/>
      <c r="H179" s="305"/>
      <c r="I179" s="305"/>
      <c r="J179" s="305"/>
      <c r="K179" s="305"/>
      <c r="L179" s="305"/>
      <c r="M179" s="305"/>
      <c r="N179" s="305"/>
    </row>
    <row r="180" spans="1:14" s="306" customFormat="1" ht="23.25">
      <c r="A180" s="436" t="s">
        <v>1149</v>
      </c>
      <c r="B180" s="467" t="s">
        <v>1148</v>
      </c>
      <c r="C180" s="371">
        <v>7.68</v>
      </c>
      <c r="D180" s="360"/>
      <c r="E180" s="305"/>
      <c r="F180" s="305"/>
      <c r="G180" s="305"/>
      <c r="H180" s="305"/>
      <c r="I180" s="305"/>
      <c r="J180" s="305"/>
      <c r="K180" s="305"/>
      <c r="L180" s="305"/>
      <c r="M180" s="305"/>
      <c r="N180" s="305"/>
    </row>
    <row r="181" spans="1:14" s="306" customFormat="1" ht="23.25">
      <c r="A181" s="436" t="s">
        <v>1151</v>
      </c>
      <c r="B181" s="467" t="s">
        <v>1150</v>
      </c>
      <c r="C181" s="371">
        <v>0.1</v>
      </c>
      <c r="D181" s="360"/>
      <c r="E181" s="305"/>
      <c r="F181" s="305"/>
      <c r="G181" s="305"/>
      <c r="H181" s="305"/>
      <c r="I181" s="305"/>
      <c r="J181" s="305"/>
      <c r="K181" s="305"/>
      <c r="L181" s="305"/>
      <c r="M181" s="305"/>
      <c r="N181" s="305"/>
    </row>
    <row r="182" spans="1:14" s="306" customFormat="1" ht="23.25">
      <c r="A182" s="436" t="s">
        <v>839</v>
      </c>
      <c r="B182" s="467" t="s">
        <v>840</v>
      </c>
      <c r="C182" s="371">
        <v>0.28000000000000003</v>
      </c>
      <c r="D182" s="360"/>
      <c r="E182" s="305"/>
      <c r="F182" s="305"/>
      <c r="G182" s="305"/>
      <c r="H182" s="305"/>
      <c r="I182" s="305"/>
      <c r="J182" s="305"/>
      <c r="K182" s="305"/>
      <c r="L182" s="305"/>
      <c r="M182" s="305"/>
      <c r="N182" s="305"/>
    </row>
    <row r="183" spans="1:14" s="306" customFormat="1" ht="23.25">
      <c r="A183" s="436" t="s">
        <v>841</v>
      </c>
      <c r="B183" s="467" t="s">
        <v>842</v>
      </c>
      <c r="C183" s="371">
        <v>1.4</v>
      </c>
      <c r="D183" s="360"/>
      <c r="E183" s="305"/>
      <c r="F183" s="305"/>
      <c r="G183" s="305"/>
      <c r="H183" s="305"/>
      <c r="I183" s="305"/>
      <c r="J183" s="305"/>
      <c r="K183" s="305"/>
      <c r="L183" s="305"/>
      <c r="M183" s="305"/>
      <c r="N183" s="305"/>
    </row>
    <row r="184" spans="1:14" s="306" customFormat="1" ht="23.25">
      <c r="A184" s="436" t="s">
        <v>1153</v>
      </c>
      <c r="B184" s="467" t="s">
        <v>1152</v>
      </c>
      <c r="C184" s="371">
        <v>3.2</v>
      </c>
      <c r="D184" s="360"/>
      <c r="E184" s="305"/>
      <c r="F184" s="305"/>
      <c r="G184" s="305"/>
      <c r="H184" s="305"/>
      <c r="I184" s="305"/>
      <c r="J184" s="305"/>
      <c r="K184" s="305"/>
      <c r="L184" s="305"/>
      <c r="M184" s="305"/>
      <c r="N184" s="305"/>
    </row>
    <row r="185" spans="1:14" ht="19.5">
      <c r="A185" s="451" t="s">
        <v>1155</v>
      </c>
      <c r="B185" s="467" t="s">
        <v>1154</v>
      </c>
      <c r="C185" s="464">
        <v>0.9</v>
      </c>
    </row>
    <row r="186" spans="1:14" s="306" customFormat="1" ht="23.25">
      <c r="A186" s="436" t="s">
        <v>851</v>
      </c>
      <c r="B186" s="467" t="s">
        <v>1156</v>
      </c>
      <c r="C186" s="371">
        <v>7.5</v>
      </c>
      <c r="D186" s="360"/>
      <c r="E186" s="305"/>
      <c r="F186" s="305"/>
      <c r="G186" s="305"/>
      <c r="H186" s="305"/>
      <c r="I186" s="305"/>
      <c r="J186" s="305"/>
      <c r="K186" s="305"/>
      <c r="L186" s="305"/>
      <c r="M186" s="305"/>
      <c r="N186" s="305"/>
    </row>
    <row r="187" spans="1:14" s="306" customFormat="1" ht="23.25">
      <c r="A187" s="436" t="s">
        <v>1158</v>
      </c>
      <c r="B187" s="467" t="s">
        <v>1157</v>
      </c>
      <c r="C187" s="371">
        <v>1.5</v>
      </c>
      <c r="D187" s="360"/>
      <c r="E187" s="305"/>
      <c r="F187" s="305"/>
      <c r="G187" s="305"/>
      <c r="H187" s="305"/>
      <c r="I187" s="305"/>
      <c r="J187" s="305"/>
      <c r="K187" s="305"/>
      <c r="L187" s="305"/>
      <c r="M187" s="305"/>
      <c r="N187" s="305"/>
    </row>
    <row r="188" spans="1:14" s="306" customFormat="1" ht="23.25">
      <c r="A188" s="436" t="s">
        <v>1160</v>
      </c>
      <c r="B188" s="467" t="s">
        <v>1159</v>
      </c>
      <c r="C188" s="371">
        <v>3.22</v>
      </c>
      <c r="D188" s="360"/>
      <c r="E188" s="305"/>
      <c r="F188" s="305"/>
      <c r="G188" s="305"/>
      <c r="H188" s="305"/>
      <c r="I188" s="305"/>
      <c r="J188" s="305"/>
      <c r="K188" s="305"/>
      <c r="L188" s="305"/>
      <c r="M188" s="305"/>
      <c r="N188" s="305"/>
    </row>
    <row r="189" spans="1:14" s="306" customFormat="1" ht="23.25">
      <c r="A189" s="436" t="s">
        <v>1162</v>
      </c>
      <c r="B189" s="467" t="s">
        <v>1161</v>
      </c>
      <c r="C189" s="371">
        <v>7.18</v>
      </c>
      <c r="D189" s="360"/>
      <c r="E189" s="305"/>
      <c r="F189" s="305"/>
      <c r="G189" s="305"/>
      <c r="H189" s="305"/>
      <c r="I189" s="305"/>
      <c r="J189" s="305"/>
      <c r="K189" s="305"/>
      <c r="L189" s="305"/>
      <c r="M189" s="305"/>
      <c r="N189" s="305"/>
    </row>
    <row r="190" spans="1:14" s="306" customFormat="1" ht="23.25">
      <c r="A190" s="436" t="s">
        <v>1164</v>
      </c>
      <c r="B190" s="467" t="s">
        <v>1163</v>
      </c>
      <c r="C190" s="371">
        <v>0.3</v>
      </c>
      <c r="D190" s="360"/>
      <c r="E190" s="305"/>
      <c r="F190" s="305"/>
      <c r="G190" s="305"/>
      <c r="H190" s="305"/>
      <c r="I190" s="305"/>
      <c r="J190" s="305"/>
      <c r="K190" s="305"/>
      <c r="L190" s="305"/>
      <c r="M190" s="305"/>
      <c r="N190" s="305"/>
    </row>
    <row r="191" spans="1:14" s="306" customFormat="1" ht="23.25">
      <c r="A191" s="436" t="s">
        <v>1166</v>
      </c>
      <c r="B191" s="467" t="s">
        <v>1165</v>
      </c>
      <c r="C191" s="371">
        <v>1.2</v>
      </c>
      <c r="D191" s="360"/>
      <c r="E191" s="305"/>
      <c r="F191" s="305"/>
      <c r="G191" s="305"/>
      <c r="H191" s="305"/>
      <c r="I191" s="305"/>
      <c r="J191" s="305"/>
      <c r="K191" s="305"/>
      <c r="L191" s="305"/>
      <c r="M191" s="305"/>
      <c r="N191" s="305"/>
    </row>
    <row r="192" spans="1:14" s="306" customFormat="1" ht="23.25">
      <c r="A192" s="436" t="s">
        <v>1167</v>
      </c>
      <c r="B192" s="467" t="s">
        <v>836</v>
      </c>
      <c r="C192" s="371">
        <v>0.68</v>
      </c>
      <c r="D192" s="360"/>
      <c r="E192" s="305"/>
      <c r="F192" s="305"/>
      <c r="G192" s="305"/>
      <c r="H192" s="305"/>
      <c r="I192" s="305"/>
      <c r="J192" s="305"/>
      <c r="K192" s="305"/>
      <c r="L192" s="305"/>
      <c r="M192" s="305"/>
      <c r="N192" s="305"/>
    </row>
    <row r="193" spans="1:14" s="306" customFormat="1" ht="23.25">
      <c r="A193" s="436" t="s">
        <v>852</v>
      </c>
      <c r="B193" s="468" t="s">
        <v>1168</v>
      </c>
      <c r="C193" s="371">
        <v>3.92</v>
      </c>
      <c r="D193" s="360"/>
      <c r="E193" s="305"/>
      <c r="F193" s="305"/>
      <c r="G193" s="305"/>
      <c r="H193" s="305"/>
      <c r="I193" s="305"/>
      <c r="J193" s="305"/>
      <c r="K193" s="305"/>
      <c r="L193" s="305"/>
      <c r="M193" s="305"/>
      <c r="N193" s="305"/>
    </row>
    <row r="194" spans="1:14" s="306" customFormat="1" ht="23.25">
      <c r="A194" s="436" t="s">
        <v>1169</v>
      </c>
      <c r="B194" s="467" t="s">
        <v>1170</v>
      </c>
      <c r="C194" s="371">
        <v>0.9</v>
      </c>
      <c r="D194" s="360"/>
      <c r="E194" s="305"/>
      <c r="F194" s="305"/>
      <c r="G194" s="305"/>
      <c r="H194" s="305"/>
      <c r="I194" s="305"/>
      <c r="J194" s="305"/>
      <c r="K194" s="305"/>
      <c r="L194" s="305"/>
      <c r="M194" s="305"/>
      <c r="N194" s="305"/>
    </row>
    <row r="195" spans="1:14" s="306" customFormat="1" ht="23.25">
      <c r="A195" s="436" t="s">
        <v>853</v>
      </c>
      <c r="B195" s="467" t="s">
        <v>1171</v>
      </c>
      <c r="C195" s="371">
        <v>2.08</v>
      </c>
      <c r="D195" s="360"/>
      <c r="E195" s="305"/>
      <c r="F195" s="305"/>
      <c r="G195" s="305"/>
      <c r="H195" s="305"/>
      <c r="I195" s="305"/>
      <c r="J195" s="305"/>
      <c r="K195" s="305"/>
      <c r="L195" s="305"/>
      <c r="M195" s="305"/>
      <c r="N195" s="305"/>
    </row>
    <row r="196" spans="1:14" s="306" customFormat="1" ht="23.25">
      <c r="A196" s="436" t="s">
        <v>1173</v>
      </c>
      <c r="B196" s="467" t="s">
        <v>1172</v>
      </c>
      <c r="C196" s="371">
        <v>2.8</v>
      </c>
      <c r="D196" s="360"/>
      <c r="E196" s="305"/>
      <c r="F196" s="305"/>
      <c r="G196" s="305"/>
      <c r="H196" s="305"/>
      <c r="I196" s="305"/>
      <c r="J196" s="305"/>
      <c r="K196" s="305"/>
      <c r="L196" s="305"/>
      <c r="M196" s="305"/>
      <c r="N196" s="305"/>
    </row>
    <row r="197" spans="1:14" s="306" customFormat="1" ht="24">
      <c r="A197" s="413"/>
      <c r="B197" s="414" t="s">
        <v>855</v>
      </c>
      <c r="C197" s="455">
        <f>SUM(C166:C196)</f>
        <v>166.49</v>
      </c>
      <c r="D197" s="360"/>
      <c r="E197" s="305"/>
      <c r="F197" s="305"/>
      <c r="G197" s="305"/>
      <c r="H197" s="305"/>
      <c r="I197" s="305"/>
      <c r="J197" s="305"/>
      <c r="K197" s="305"/>
      <c r="L197" s="305"/>
      <c r="M197" s="305"/>
      <c r="N197" s="305"/>
    </row>
    <row r="198" spans="1:14" s="306" customFormat="1" ht="24.75">
      <c r="A198" s="413"/>
      <c r="B198" s="415" t="s">
        <v>856</v>
      </c>
      <c r="C198" s="417">
        <f>C197+C164</f>
        <v>1853.2900000000002</v>
      </c>
      <c r="D198" s="360"/>
      <c r="E198" s="305"/>
      <c r="F198" s="305"/>
      <c r="G198" s="305"/>
      <c r="H198" s="305"/>
      <c r="I198" s="305"/>
      <c r="J198" s="305"/>
      <c r="K198" s="305"/>
      <c r="L198" s="305"/>
      <c r="M198" s="305"/>
      <c r="N198" s="305"/>
    </row>
    <row r="199" spans="1:14" s="220" customFormat="1" ht="19.5">
      <c r="A199" s="386"/>
      <c r="B199" s="387"/>
      <c r="C199" s="437"/>
      <c r="D199" s="393"/>
    </row>
    <row r="200" spans="1:14" s="220" customFormat="1" ht="19.5" hidden="1">
      <c r="A200" s="394"/>
      <c r="C200" s="321"/>
      <c r="D200" s="395"/>
    </row>
    <row r="201" spans="1:14" s="220" customFormat="1" ht="19.5" hidden="1">
      <c r="A201" s="394"/>
      <c r="C201" s="321"/>
      <c r="D201" s="395"/>
    </row>
    <row r="202" spans="1:14" s="220" customFormat="1" ht="19.5" hidden="1">
      <c r="A202" s="394"/>
      <c r="B202" s="258" t="s">
        <v>750</v>
      </c>
      <c r="C202" s="322"/>
      <c r="D202" s="396"/>
    </row>
    <row r="203" spans="1:14" s="220" customFormat="1" ht="19.5" hidden="1">
      <c r="A203" s="397"/>
      <c r="B203" s="398" t="s">
        <v>751</v>
      </c>
      <c r="C203" s="402"/>
      <c r="D203" s="404"/>
    </row>
    <row r="204" spans="1:14" s="220" customFormat="1" ht="19.5">
      <c r="C204" s="465"/>
    </row>
    <row r="205" spans="1:14" s="220" customFormat="1" ht="19.5">
      <c r="C205" s="465"/>
    </row>
    <row r="206" spans="1:14" s="220" customFormat="1" ht="19.5">
      <c r="C206" s="465"/>
    </row>
    <row r="207" spans="1:14" s="220" customFormat="1" ht="19.5">
      <c r="C207" s="465"/>
    </row>
    <row r="208" spans="1:14" ht="19.5">
      <c r="C208" s="465"/>
      <c r="D208" s="220"/>
      <c r="E208" s="220"/>
      <c r="F208" s="220"/>
      <c r="G208" s="220"/>
      <c r="H208" s="220"/>
      <c r="I208" s="220"/>
      <c r="J208" s="220"/>
      <c r="K208" s="220"/>
      <c r="L208" s="220"/>
      <c r="M208" s="220"/>
      <c r="N208" s="220"/>
    </row>
    <row r="209" spans="3:14" ht="19.5">
      <c r="C209" s="465"/>
      <c r="D209" s="220"/>
      <c r="E209" s="220"/>
      <c r="F209" s="220"/>
      <c r="G209" s="220"/>
      <c r="H209" s="220"/>
      <c r="I209" s="220"/>
      <c r="J209" s="220"/>
      <c r="K209" s="220"/>
      <c r="L209" s="220"/>
      <c r="M209" s="220"/>
      <c r="N209" s="220"/>
    </row>
    <row r="210" spans="3:14" ht="19.5">
      <c r="C210" s="465"/>
      <c r="D210" s="220"/>
      <c r="E210" s="220"/>
      <c r="F210" s="220"/>
      <c r="G210" s="220"/>
      <c r="H210" s="220"/>
      <c r="I210" s="220"/>
      <c r="J210" s="220"/>
      <c r="K210" s="220"/>
      <c r="L210" s="220"/>
      <c r="M210" s="220"/>
      <c r="N210" s="220"/>
    </row>
    <row r="211" spans="3:14" ht="19.5">
      <c r="C211" s="465"/>
      <c r="D211" s="220"/>
      <c r="E211" s="220"/>
      <c r="F211" s="220"/>
      <c r="G211" s="220"/>
      <c r="H211" s="220"/>
      <c r="I211" s="220"/>
      <c r="J211" s="220"/>
      <c r="K211" s="220"/>
      <c r="L211" s="220"/>
      <c r="M211" s="220"/>
      <c r="N211" s="220"/>
    </row>
    <row r="212" spans="3:14" ht="19.5">
      <c r="C212" s="465"/>
      <c r="D212" s="220"/>
      <c r="E212" s="220"/>
      <c r="F212" s="220"/>
      <c r="G212" s="220"/>
      <c r="H212" s="220"/>
      <c r="I212" s="220"/>
      <c r="J212" s="220"/>
      <c r="K212" s="220"/>
      <c r="L212" s="220"/>
      <c r="M212" s="220"/>
      <c r="N212" s="220"/>
    </row>
    <row r="213" spans="3:14" ht="19.5">
      <c r="C213" s="465"/>
      <c r="D213" s="220"/>
      <c r="E213" s="220"/>
      <c r="F213" s="220"/>
      <c r="G213" s="220"/>
      <c r="H213" s="220"/>
      <c r="I213" s="220"/>
      <c r="J213" s="220"/>
      <c r="K213" s="220"/>
      <c r="L213" s="220"/>
      <c r="M213" s="220"/>
      <c r="N213" s="220"/>
    </row>
    <row r="214" spans="3:14" ht="19.5">
      <c r="C214" s="465"/>
      <c r="D214" s="220"/>
      <c r="E214" s="220"/>
      <c r="F214" s="220"/>
      <c r="G214" s="220"/>
      <c r="H214" s="220"/>
      <c r="I214" s="220"/>
      <c r="J214" s="220"/>
      <c r="K214" s="220"/>
      <c r="L214" s="220"/>
      <c r="M214" s="220"/>
      <c r="N214" s="220"/>
    </row>
    <row r="215" spans="3:14" ht="19.5">
      <c r="C215" s="465"/>
      <c r="D215" s="220"/>
      <c r="E215" s="220"/>
      <c r="F215" s="220"/>
      <c r="G215" s="220"/>
      <c r="H215" s="220"/>
      <c r="I215" s="220"/>
      <c r="J215" s="220"/>
      <c r="K215" s="220"/>
      <c r="L215" s="220"/>
      <c r="M215" s="220"/>
      <c r="N215" s="220"/>
    </row>
    <row r="216" spans="3:14" ht="19.5">
      <c r="C216" s="465"/>
      <c r="D216" s="220"/>
      <c r="E216" s="220"/>
      <c r="F216" s="220"/>
      <c r="G216" s="220"/>
      <c r="H216" s="220"/>
      <c r="I216" s="220"/>
      <c r="J216" s="220"/>
      <c r="K216" s="220"/>
      <c r="L216" s="220"/>
      <c r="M216" s="220"/>
      <c r="N216" s="220"/>
    </row>
    <row r="217" spans="3:14" ht="19.5">
      <c r="C217" s="465"/>
      <c r="D217" s="220"/>
      <c r="E217" s="220"/>
      <c r="F217" s="220"/>
      <c r="G217" s="220"/>
      <c r="H217" s="220"/>
      <c r="I217" s="220"/>
      <c r="J217" s="220"/>
      <c r="K217" s="220"/>
      <c r="L217" s="220"/>
      <c r="M217" s="220"/>
      <c r="N217" s="220"/>
    </row>
    <row r="218" spans="3:14" ht="19.5">
      <c r="C218" s="465"/>
      <c r="D218" s="220"/>
      <c r="E218" s="220"/>
      <c r="F218" s="220"/>
      <c r="G218" s="220"/>
      <c r="H218" s="220"/>
      <c r="I218" s="220"/>
      <c r="J218" s="220"/>
      <c r="K218" s="220"/>
      <c r="L218" s="220"/>
      <c r="M218" s="220"/>
      <c r="N218" s="220"/>
    </row>
    <row r="219" spans="3:14" ht="19.5">
      <c r="C219" s="465"/>
      <c r="D219" s="220"/>
      <c r="E219" s="220"/>
      <c r="F219" s="220"/>
      <c r="G219" s="220"/>
      <c r="H219" s="220"/>
      <c r="I219" s="220"/>
      <c r="J219" s="220"/>
      <c r="K219" s="220"/>
      <c r="L219" s="220"/>
      <c r="M219" s="220"/>
      <c r="N219" s="220"/>
    </row>
    <row r="220" spans="3:14" ht="19.5">
      <c r="C220" s="465"/>
      <c r="D220" s="220"/>
      <c r="E220" s="220"/>
      <c r="F220" s="220"/>
      <c r="G220" s="220"/>
      <c r="H220" s="220"/>
      <c r="I220" s="220"/>
      <c r="J220" s="220"/>
      <c r="K220" s="220"/>
      <c r="L220" s="220"/>
      <c r="M220" s="220"/>
      <c r="N220" s="220"/>
    </row>
    <row r="221" spans="3:14" ht="19.5">
      <c r="C221" s="465"/>
      <c r="D221" s="220"/>
      <c r="E221" s="220"/>
      <c r="F221" s="220"/>
      <c r="G221" s="220"/>
      <c r="H221" s="220"/>
      <c r="I221" s="220"/>
      <c r="J221" s="220"/>
      <c r="K221" s="220"/>
      <c r="L221" s="220"/>
      <c r="M221" s="220"/>
      <c r="N221" s="220"/>
    </row>
    <row r="222" spans="3:14" ht="19.5">
      <c r="C222" s="465"/>
      <c r="D222" s="220"/>
      <c r="E222" s="220"/>
      <c r="F222" s="220"/>
      <c r="G222" s="220"/>
      <c r="H222" s="220"/>
      <c r="I222" s="220"/>
      <c r="J222" s="220"/>
      <c r="K222" s="220"/>
      <c r="L222" s="220"/>
      <c r="M222" s="220"/>
      <c r="N222" s="220"/>
    </row>
    <row r="223" spans="3:14" ht="19.5">
      <c r="C223" s="465"/>
      <c r="D223" s="220"/>
      <c r="E223" s="220"/>
      <c r="F223" s="220"/>
      <c r="G223" s="220"/>
      <c r="H223" s="220"/>
      <c r="I223" s="220"/>
      <c r="J223" s="220"/>
      <c r="K223" s="220"/>
      <c r="L223" s="220"/>
      <c r="M223" s="220"/>
      <c r="N223" s="220"/>
    </row>
    <row r="224" spans="3:14" ht="19.5">
      <c r="C224" s="465"/>
      <c r="D224" s="220"/>
      <c r="E224" s="220"/>
      <c r="F224" s="220"/>
      <c r="G224" s="220"/>
      <c r="H224" s="220"/>
      <c r="I224" s="220"/>
      <c r="J224" s="220"/>
      <c r="K224" s="220"/>
      <c r="L224" s="220"/>
      <c r="M224" s="220"/>
      <c r="N224" s="220"/>
    </row>
    <row r="225" spans="3:14" ht="19.5">
      <c r="C225" s="465"/>
      <c r="D225" s="220"/>
      <c r="E225" s="220"/>
      <c r="F225" s="220"/>
      <c r="G225" s="220"/>
      <c r="H225" s="220"/>
      <c r="I225" s="220"/>
      <c r="J225" s="220"/>
      <c r="K225" s="220"/>
      <c r="L225" s="220"/>
      <c r="M225" s="220"/>
      <c r="N225" s="220"/>
    </row>
    <row r="226" spans="3:14" ht="19.5">
      <c r="C226" s="465"/>
      <c r="D226" s="220"/>
      <c r="E226" s="220"/>
      <c r="F226" s="220"/>
      <c r="G226" s="220"/>
      <c r="H226" s="220"/>
      <c r="I226" s="220"/>
      <c r="J226" s="220"/>
      <c r="K226" s="220"/>
      <c r="L226" s="220"/>
      <c r="M226" s="220"/>
      <c r="N226" s="220"/>
    </row>
    <row r="227" spans="3:14" ht="19.5">
      <c r="C227" s="465"/>
      <c r="D227" s="220"/>
      <c r="E227" s="220"/>
      <c r="F227" s="220"/>
      <c r="G227" s="220"/>
      <c r="H227" s="220"/>
      <c r="I227" s="220"/>
      <c r="J227" s="220"/>
      <c r="K227" s="220"/>
      <c r="L227" s="220"/>
      <c r="M227" s="220"/>
      <c r="N227" s="220"/>
    </row>
  </sheetData>
  <mergeCells count="8">
    <mergeCell ref="D19:D20"/>
    <mergeCell ref="A22:B22"/>
    <mergeCell ref="A1:D1"/>
    <mergeCell ref="A2:D2"/>
    <mergeCell ref="A3:D3"/>
    <mergeCell ref="A4:D4"/>
    <mergeCell ref="A19:A20"/>
    <mergeCell ref="B19:B20"/>
  </mergeCells>
  <printOptions horizontalCentered="1"/>
  <pageMargins left="0.3" right="0.2" top="0.25" bottom="0.7" header="0.2" footer="0"/>
  <pageSetup paperSize="9" scale="58" fitToWidth="0" fitToHeight="5" orientation="portrait" horizontalDpi="300" verticalDpi="300" r:id="rId1"/>
  <headerFooter>
    <oddFooter>&amp;Lयोजना शाखा प्रमुख&amp;Cआर्थिक प्रशासन शाखा प्रमुख&amp;Rकार्यालय प्रमुख</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53D5-B67A-42C7-9E13-0E608E68A496}">
  <sheetPr>
    <tabColor rgb="FFFF0000"/>
    <pageSetUpPr fitToPage="1"/>
  </sheetPr>
  <dimension ref="A1:N76"/>
  <sheetViews>
    <sheetView view="pageBreakPreview" zoomScale="90" zoomScaleNormal="70" zoomScaleSheetLayoutView="90" workbookViewId="0">
      <selection activeCell="D25" sqref="D25"/>
    </sheetView>
  </sheetViews>
  <sheetFormatPr defaultRowHeight="12.75"/>
  <cols>
    <col min="1" max="1" width="13.7109375" customWidth="1"/>
    <col min="2" max="2" width="45.85546875" customWidth="1"/>
    <col min="3" max="3" width="10.5703125" style="324" bestFit="1" customWidth="1"/>
    <col min="4" max="4" width="14.140625" customWidth="1"/>
  </cols>
  <sheetData>
    <row r="1" spans="1:4" s="220" customFormat="1" ht="32.450000000000003" customHeight="1">
      <c r="A1" s="634" t="s">
        <v>799</v>
      </c>
      <c r="B1" s="634"/>
      <c r="C1" s="634"/>
      <c r="D1" s="634"/>
    </row>
    <row r="2" spans="1:4" s="220" customFormat="1" ht="32.450000000000003" customHeight="1">
      <c r="A2" s="634" t="s">
        <v>798</v>
      </c>
      <c r="B2" s="634"/>
      <c r="C2" s="634"/>
      <c r="D2" s="634"/>
    </row>
    <row r="3" spans="1:4" s="220" customFormat="1" ht="32.450000000000003" customHeight="1">
      <c r="A3" s="628" t="s">
        <v>859</v>
      </c>
      <c r="B3" s="628"/>
      <c r="C3" s="628"/>
      <c r="D3" s="628"/>
    </row>
    <row r="4" spans="1:4" s="220" customFormat="1" ht="27.6" customHeight="1">
      <c r="A4" s="613" t="s">
        <v>1224</v>
      </c>
      <c r="B4" s="613"/>
      <c r="C4" s="613"/>
      <c r="D4" s="613"/>
    </row>
    <row r="5" spans="1:4" s="220" customFormat="1" ht="28.5">
      <c r="A5" s="265"/>
      <c r="B5" s="265"/>
      <c r="C5" s="318"/>
      <c r="D5" s="265"/>
    </row>
    <row r="6" spans="1:4" s="220" customFormat="1" ht="24" hidden="1">
      <c r="A6" s="266" t="s">
        <v>771</v>
      </c>
      <c r="B6" s="266"/>
      <c r="C6" s="319"/>
    </row>
    <row r="7" spans="1:4" s="220" customFormat="1" ht="24" hidden="1">
      <c r="A7" s="271" t="s">
        <v>772</v>
      </c>
      <c r="B7" s="266"/>
      <c r="C7" s="319"/>
    </row>
    <row r="8" spans="1:4" s="220" customFormat="1" ht="24" hidden="1">
      <c r="A8" s="266" t="s">
        <v>773</v>
      </c>
      <c r="B8" s="266"/>
      <c r="C8" s="319"/>
    </row>
    <row r="9" spans="1:4" s="220" customFormat="1" ht="24" hidden="1">
      <c r="A9" s="266" t="s">
        <v>774</v>
      </c>
      <c r="B9" s="266"/>
      <c r="C9" s="319"/>
    </row>
    <row r="10" spans="1:4" s="220" customFormat="1" ht="24" hidden="1">
      <c r="A10" s="266" t="s">
        <v>775</v>
      </c>
      <c r="B10" s="266"/>
      <c r="C10" s="319"/>
    </row>
    <row r="11" spans="1:4" s="220" customFormat="1" ht="24" hidden="1">
      <c r="A11" s="266" t="s">
        <v>776</v>
      </c>
      <c r="B11" s="266"/>
      <c r="C11" s="319"/>
    </row>
    <row r="12" spans="1:4" s="220" customFormat="1" ht="24" hidden="1">
      <c r="A12" s="266" t="s">
        <v>777</v>
      </c>
      <c r="B12" s="266"/>
      <c r="C12" s="319"/>
    </row>
    <row r="13" spans="1:4" s="220" customFormat="1" ht="24" hidden="1">
      <c r="A13" s="266" t="s">
        <v>778</v>
      </c>
      <c r="B13" s="266"/>
      <c r="C13" s="319"/>
    </row>
    <row r="14" spans="1:4" s="220" customFormat="1" ht="24" hidden="1">
      <c r="A14" s="273" t="s">
        <v>779</v>
      </c>
      <c r="B14" s="266"/>
      <c r="C14" s="319"/>
      <c r="D14" s="274" t="e">
        <f>#REF!/#REF!*100</f>
        <v>#REF!</v>
      </c>
    </row>
    <row r="15" spans="1:4" s="220" customFormat="1" ht="24" hidden="1">
      <c r="A15" s="266" t="s">
        <v>780</v>
      </c>
      <c r="B15" s="266"/>
      <c r="C15" s="319"/>
      <c r="D15" s="275" t="e">
        <f>#REF!/#REF!*100</f>
        <v>#REF!</v>
      </c>
    </row>
    <row r="16" spans="1:4" s="220" customFormat="1" ht="24" hidden="1">
      <c r="A16" s="266" t="s">
        <v>781</v>
      </c>
      <c r="B16" s="266"/>
      <c r="C16" s="319"/>
      <c r="D16" s="266"/>
    </row>
    <row r="17" spans="1:14" s="220" customFormat="1" ht="24" hidden="1">
      <c r="A17" s="266" t="s">
        <v>782</v>
      </c>
      <c r="B17" s="266"/>
      <c r="C17" s="319"/>
      <c r="D17" s="276" t="e">
        <f>#REF!</f>
        <v>#REF!</v>
      </c>
    </row>
    <row r="18" spans="1:14" s="220" customFormat="1" ht="24">
      <c r="A18" s="266" t="s">
        <v>1222</v>
      </c>
      <c r="B18" s="266"/>
      <c r="C18" s="319"/>
    </row>
    <row r="19" spans="1:14" s="220" customFormat="1" ht="58.15" customHeight="1">
      <c r="A19" s="621" t="s">
        <v>752</v>
      </c>
      <c r="B19" s="621" t="s">
        <v>753</v>
      </c>
      <c r="C19" s="438"/>
      <c r="D19" s="621" t="s">
        <v>497</v>
      </c>
    </row>
    <row r="20" spans="1:14" s="220" customFormat="1" ht="58.15" customHeight="1">
      <c r="A20" s="621"/>
      <c r="B20" s="621"/>
      <c r="C20" s="335" t="s">
        <v>758</v>
      </c>
      <c r="D20" s="621"/>
    </row>
    <row r="21" spans="1:14" s="220" customFormat="1" ht="19.5">
      <c r="A21" s="278">
        <v>1</v>
      </c>
      <c r="B21" s="278">
        <v>2</v>
      </c>
      <c r="C21" s="278">
        <v>6</v>
      </c>
      <c r="D21" s="278">
        <v>15</v>
      </c>
    </row>
    <row r="22" spans="1:14" s="350" customFormat="1" ht="19.5">
      <c r="A22" s="647" t="s">
        <v>825</v>
      </c>
      <c r="B22" s="648"/>
      <c r="C22" s="368"/>
      <c r="D22" s="405"/>
      <c r="E22" s="263"/>
      <c r="F22" s="263"/>
      <c r="G22" s="263"/>
      <c r="H22" s="263"/>
      <c r="I22" s="263"/>
      <c r="J22" s="263"/>
      <c r="K22" s="263"/>
      <c r="L22" s="263"/>
      <c r="M22" s="263"/>
      <c r="N22" s="263"/>
    </row>
    <row r="23" spans="1:14" s="350" customFormat="1" ht="19.5">
      <c r="A23" s="428">
        <v>1</v>
      </c>
      <c r="B23" s="422" t="s">
        <v>861</v>
      </c>
      <c r="C23" s="369"/>
      <c r="D23" s="425"/>
      <c r="E23" s="263"/>
      <c r="F23" s="263"/>
      <c r="G23" s="263"/>
      <c r="H23" s="263"/>
      <c r="I23" s="263"/>
      <c r="J23" s="263"/>
      <c r="K23" s="263"/>
      <c r="L23" s="263"/>
      <c r="M23" s="263"/>
      <c r="N23" s="263"/>
    </row>
    <row r="24" spans="1:14" s="419" customFormat="1" ht="19.5">
      <c r="A24" s="432" t="s">
        <v>1189</v>
      </c>
      <c r="B24" s="472" t="s">
        <v>1179</v>
      </c>
      <c r="C24" s="457">
        <v>10</v>
      </c>
      <c r="D24" s="360"/>
      <c r="E24" s="418"/>
      <c r="F24" s="418"/>
      <c r="G24" s="418"/>
      <c r="H24" s="418"/>
      <c r="I24" s="418"/>
      <c r="J24" s="418"/>
      <c r="K24" s="418"/>
      <c r="L24" s="418"/>
      <c r="M24" s="418"/>
      <c r="N24" s="418"/>
    </row>
    <row r="25" spans="1:14" s="419" customFormat="1" ht="28.5">
      <c r="A25" s="432" t="s">
        <v>1190</v>
      </c>
      <c r="B25" s="475" t="s">
        <v>1180</v>
      </c>
      <c r="C25" s="457">
        <v>150</v>
      </c>
      <c r="D25" s="360"/>
      <c r="E25" s="418"/>
      <c r="F25" s="418"/>
      <c r="G25" s="418"/>
      <c r="H25" s="418"/>
      <c r="I25" s="418"/>
      <c r="J25" s="418"/>
      <c r="K25" s="418"/>
      <c r="L25" s="418"/>
      <c r="M25" s="418"/>
      <c r="N25" s="418"/>
    </row>
    <row r="26" spans="1:14" s="419" customFormat="1" ht="19.5">
      <c r="A26" s="432" t="s">
        <v>1191</v>
      </c>
      <c r="B26" s="475" t="s">
        <v>1181</v>
      </c>
      <c r="C26" s="457">
        <v>100</v>
      </c>
      <c r="D26" s="360"/>
      <c r="E26" s="418"/>
      <c r="F26" s="418"/>
      <c r="G26" s="418"/>
      <c r="H26" s="418"/>
      <c r="I26" s="418"/>
      <c r="J26" s="418"/>
      <c r="K26" s="418"/>
      <c r="L26" s="418"/>
      <c r="M26" s="418"/>
      <c r="N26" s="418"/>
    </row>
    <row r="27" spans="1:14" s="419" customFormat="1" ht="19.5">
      <c r="A27" s="432" t="s">
        <v>1183</v>
      </c>
      <c r="B27" s="475" t="s">
        <v>1182</v>
      </c>
      <c r="C27" s="457">
        <v>150</v>
      </c>
      <c r="D27" s="360"/>
      <c r="E27" s="418"/>
      <c r="F27" s="418"/>
      <c r="G27" s="418"/>
      <c r="H27" s="418"/>
      <c r="I27" s="418"/>
      <c r="J27" s="418"/>
      <c r="K27" s="418"/>
      <c r="L27" s="418"/>
      <c r="M27" s="418"/>
      <c r="N27" s="418"/>
    </row>
    <row r="28" spans="1:14" s="419" customFormat="1" ht="19.5">
      <c r="A28" s="432" t="s">
        <v>1185</v>
      </c>
      <c r="B28" s="476" t="s">
        <v>1184</v>
      </c>
      <c r="C28" s="457">
        <v>100</v>
      </c>
      <c r="D28" s="360"/>
      <c r="E28" s="418"/>
      <c r="F28" s="418"/>
      <c r="G28" s="418"/>
      <c r="H28" s="418"/>
      <c r="I28" s="418"/>
      <c r="J28" s="418"/>
      <c r="K28" s="418"/>
      <c r="L28" s="418"/>
      <c r="M28" s="418"/>
      <c r="N28" s="418"/>
    </row>
    <row r="29" spans="1:14" s="419" customFormat="1" ht="19.5">
      <c r="A29" s="432" t="s">
        <v>1192</v>
      </c>
      <c r="B29" s="474" t="s">
        <v>1178</v>
      </c>
      <c r="C29" s="457">
        <v>200</v>
      </c>
      <c r="D29" s="360"/>
      <c r="E29" s="418"/>
      <c r="F29" s="418"/>
      <c r="G29" s="418"/>
      <c r="H29" s="418"/>
      <c r="I29" s="418"/>
      <c r="J29" s="418"/>
      <c r="K29" s="418"/>
      <c r="L29" s="418"/>
      <c r="M29" s="418"/>
      <c r="N29" s="418"/>
    </row>
    <row r="30" spans="1:14" s="419" customFormat="1" ht="19.5">
      <c r="A30" s="432" t="s">
        <v>1186</v>
      </c>
      <c r="B30" s="476" t="s">
        <v>1187</v>
      </c>
      <c r="C30" s="457">
        <v>150</v>
      </c>
      <c r="D30" s="360"/>
      <c r="E30" s="418"/>
      <c r="F30" s="418"/>
      <c r="G30" s="418"/>
      <c r="H30" s="418"/>
      <c r="I30" s="418"/>
      <c r="J30" s="418"/>
      <c r="K30" s="418"/>
      <c r="L30" s="418"/>
      <c r="M30" s="418"/>
      <c r="N30" s="418"/>
    </row>
    <row r="31" spans="1:14" s="419" customFormat="1" ht="34.5">
      <c r="A31" s="432" t="s">
        <v>1193</v>
      </c>
      <c r="B31" s="476" t="s">
        <v>1188</v>
      </c>
      <c r="C31" s="457">
        <v>200</v>
      </c>
      <c r="D31" s="360"/>
      <c r="E31" s="418"/>
      <c r="F31" s="418"/>
      <c r="G31" s="418"/>
      <c r="H31" s="418"/>
      <c r="I31" s="418"/>
      <c r="J31" s="418"/>
      <c r="K31" s="418"/>
      <c r="L31" s="418"/>
      <c r="M31" s="418"/>
      <c r="N31" s="418"/>
    </row>
    <row r="32" spans="1:14" s="419" customFormat="1" ht="19.5">
      <c r="A32" s="432" t="s">
        <v>1195</v>
      </c>
      <c r="B32" s="476" t="s">
        <v>1194</v>
      </c>
      <c r="C32" s="457">
        <v>150</v>
      </c>
      <c r="D32" s="360"/>
      <c r="E32" s="418"/>
      <c r="F32" s="418"/>
      <c r="G32" s="418"/>
      <c r="H32" s="418"/>
      <c r="I32" s="418"/>
      <c r="J32" s="418"/>
      <c r="K32" s="418"/>
      <c r="L32" s="418"/>
      <c r="M32" s="418"/>
      <c r="N32" s="418"/>
    </row>
    <row r="33" spans="1:14" s="419" customFormat="1" ht="19.5">
      <c r="A33" s="434">
        <v>2</v>
      </c>
      <c r="B33" s="422" t="s">
        <v>1196</v>
      </c>
      <c r="C33" s="461"/>
      <c r="D33" s="360"/>
      <c r="E33" s="418"/>
      <c r="F33" s="418"/>
      <c r="G33" s="418"/>
      <c r="H33" s="418"/>
      <c r="I33" s="418"/>
      <c r="J33" s="418"/>
      <c r="K33" s="418"/>
      <c r="L33" s="418"/>
      <c r="M33" s="418"/>
      <c r="N33" s="418"/>
    </row>
    <row r="34" spans="1:14" s="421" customFormat="1" ht="23.25">
      <c r="A34" s="432" t="s">
        <v>1204</v>
      </c>
      <c r="B34" s="472" t="s">
        <v>1197</v>
      </c>
      <c r="C34" s="457">
        <v>50</v>
      </c>
      <c r="D34" s="360"/>
      <c r="E34" s="418"/>
      <c r="F34" s="420"/>
      <c r="G34" s="420"/>
      <c r="H34" s="420"/>
      <c r="I34" s="420"/>
      <c r="J34" s="420"/>
      <c r="K34" s="420"/>
      <c r="L34" s="420"/>
      <c r="M34" s="420"/>
      <c r="N34" s="420"/>
    </row>
    <row r="35" spans="1:14" s="421" customFormat="1" ht="28.5">
      <c r="A35" s="432" t="s">
        <v>1205</v>
      </c>
      <c r="B35" s="473" t="s">
        <v>1198</v>
      </c>
      <c r="C35" s="457">
        <v>50</v>
      </c>
      <c r="D35" s="360"/>
      <c r="E35" s="420"/>
      <c r="F35" s="420"/>
      <c r="G35" s="420"/>
      <c r="H35" s="420"/>
      <c r="I35" s="420"/>
      <c r="J35" s="420"/>
      <c r="K35" s="420"/>
      <c r="L35" s="420"/>
      <c r="M35" s="420"/>
      <c r="N35" s="420"/>
    </row>
    <row r="36" spans="1:14" s="421" customFormat="1" ht="28.5">
      <c r="A36" s="432" t="s">
        <v>1206</v>
      </c>
      <c r="B36" s="475" t="s">
        <v>1199</v>
      </c>
      <c r="C36" s="457">
        <v>25</v>
      </c>
      <c r="D36" s="360"/>
      <c r="E36" s="420"/>
      <c r="F36" s="420"/>
      <c r="G36" s="420"/>
      <c r="H36" s="420"/>
      <c r="I36" s="420"/>
      <c r="J36" s="420"/>
      <c r="K36" s="420"/>
      <c r="L36" s="420"/>
      <c r="M36" s="420"/>
      <c r="N36" s="420"/>
    </row>
    <row r="37" spans="1:14" s="421" customFormat="1" ht="23.25">
      <c r="A37" s="432" t="s">
        <v>1209</v>
      </c>
      <c r="B37" s="476" t="s">
        <v>1202</v>
      </c>
      <c r="C37" s="457">
        <v>50</v>
      </c>
      <c r="D37" s="360"/>
      <c r="E37" s="420"/>
      <c r="F37" s="420"/>
      <c r="G37" s="420"/>
      <c r="H37" s="420"/>
      <c r="I37" s="420"/>
      <c r="J37" s="420"/>
      <c r="K37" s="420"/>
      <c r="L37" s="420"/>
      <c r="M37" s="420"/>
      <c r="N37" s="420"/>
    </row>
    <row r="38" spans="1:14" s="421" customFormat="1" ht="23.25">
      <c r="A38" s="432" t="s">
        <v>1210</v>
      </c>
      <c r="B38" s="476" t="s">
        <v>1203</v>
      </c>
      <c r="C38" s="457">
        <v>50</v>
      </c>
      <c r="D38" s="360"/>
      <c r="E38" s="420"/>
      <c r="F38" s="420"/>
      <c r="G38" s="420"/>
      <c r="H38" s="420"/>
      <c r="I38" s="420"/>
      <c r="J38" s="420"/>
      <c r="K38" s="420"/>
      <c r="L38" s="420"/>
      <c r="M38" s="420"/>
      <c r="N38" s="420"/>
    </row>
    <row r="39" spans="1:14" s="421" customFormat="1" ht="28.5">
      <c r="A39" s="432" t="s">
        <v>1208</v>
      </c>
      <c r="B39" s="475" t="s">
        <v>1201</v>
      </c>
      <c r="C39" s="457">
        <v>30</v>
      </c>
      <c r="D39" s="360"/>
      <c r="E39" s="420"/>
      <c r="F39" s="420"/>
      <c r="G39" s="420"/>
      <c r="H39" s="420"/>
      <c r="I39" s="420"/>
      <c r="J39" s="420"/>
      <c r="K39" s="420"/>
      <c r="L39" s="420"/>
      <c r="M39" s="420"/>
      <c r="N39" s="420"/>
    </row>
    <row r="40" spans="1:14" s="421" customFormat="1" ht="23.25">
      <c r="A40" s="432" t="s">
        <v>1207</v>
      </c>
      <c r="B40" s="476" t="s">
        <v>1200</v>
      </c>
      <c r="C40" s="457">
        <v>50</v>
      </c>
      <c r="D40" s="360"/>
      <c r="E40" s="420"/>
      <c r="F40" s="420"/>
      <c r="G40" s="420"/>
      <c r="H40" s="420"/>
      <c r="I40" s="420"/>
      <c r="J40" s="420"/>
      <c r="K40" s="420"/>
      <c r="L40" s="420"/>
      <c r="M40" s="420"/>
      <c r="N40" s="420"/>
    </row>
    <row r="41" spans="1:14" s="421" customFormat="1" ht="40.5">
      <c r="A41" s="434">
        <v>3</v>
      </c>
      <c r="B41" s="424" t="s">
        <v>1211</v>
      </c>
      <c r="C41" s="461"/>
      <c r="D41" s="360"/>
      <c r="E41" s="420"/>
      <c r="F41" s="420"/>
      <c r="G41" s="420"/>
      <c r="H41" s="420"/>
      <c r="I41" s="420"/>
      <c r="J41" s="420"/>
      <c r="K41" s="420"/>
      <c r="L41" s="420"/>
      <c r="M41" s="420"/>
      <c r="N41" s="420"/>
    </row>
    <row r="42" spans="1:14" s="421" customFormat="1" ht="23.25">
      <c r="A42" s="432" t="s">
        <v>1217</v>
      </c>
      <c r="B42" s="472" t="s">
        <v>1212</v>
      </c>
      <c r="C42" s="457">
        <v>15</v>
      </c>
      <c r="D42" s="435"/>
      <c r="E42" s="420"/>
      <c r="F42" s="420"/>
      <c r="G42" s="420"/>
      <c r="H42" s="420"/>
      <c r="I42" s="420"/>
      <c r="J42" s="420"/>
      <c r="K42" s="420"/>
      <c r="L42" s="420"/>
      <c r="M42" s="420"/>
      <c r="N42" s="420"/>
    </row>
    <row r="43" spans="1:14" s="421" customFormat="1" ht="28.5">
      <c r="A43" s="432" t="s">
        <v>1219</v>
      </c>
      <c r="B43" s="475" t="s">
        <v>1214</v>
      </c>
      <c r="C43" s="457">
        <v>15</v>
      </c>
      <c r="D43" s="463"/>
      <c r="E43" s="420"/>
      <c r="F43" s="420"/>
      <c r="G43" s="420"/>
      <c r="H43" s="420"/>
      <c r="I43" s="420"/>
      <c r="J43" s="420"/>
      <c r="K43" s="420"/>
      <c r="L43" s="420"/>
      <c r="M43" s="420"/>
      <c r="N43" s="420"/>
    </row>
    <row r="44" spans="1:14" s="421" customFormat="1" ht="23.25">
      <c r="A44" s="432" t="s">
        <v>1221</v>
      </c>
      <c r="B44" s="476" t="s">
        <v>1216</v>
      </c>
      <c r="C44" s="457">
        <v>10</v>
      </c>
      <c r="D44" s="463"/>
      <c r="E44" s="420"/>
      <c r="F44" s="420"/>
      <c r="G44" s="420"/>
      <c r="H44" s="420"/>
      <c r="I44" s="420"/>
      <c r="J44" s="420"/>
      <c r="K44" s="420"/>
      <c r="L44" s="420"/>
      <c r="M44" s="420"/>
      <c r="N44" s="420"/>
    </row>
    <row r="45" spans="1:14" s="421" customFormat="1" ht="28.5">
      <c r="A45" s="432" t="s">
        <v>1220</v>
      </c>
      <c r="B45" s="475" t="s">
        <v>1215</v>
      </c>
      <c r="C45" s="457">
        <v>15</v>
      </c>
      <c r="D45" s="463"/>
      <c r="E45" s="420"/>
      <c r="F45" s="420"/>
      <c r="G45" s="420"/>
      <c r="H45" s="420"/>
      <c r="I45" s="420"/>
      <c r="J45" s="420"/>
      <c r="K45" s="420"/>
      <c r="L45" s="420"/>
      <c r="M45" s="420"/>
      <c r="N45" s="420"/>
    </row>
    <row r="46" spans="1:14" s="421" customFormat="1" ht="28.5">
      <c r="A46" s="432" t="s">
        <v>1218</v>
      </c>
      <c r="B46" s="475" t="s">
        <v>1213</v>
      </c>
      <c r="C46" s="457">
        <v>15</v>
      </c>
      <c r="D46" s="463"/>
      <c r="E46" s="420"/>
      <c r="F46" s="420"/>
      <c r="G46" s="420"/>
      <c r="H46" s="420"/>
      <c r="I46" s="420"/>
      <c r="J46" s="420"/>
      <c r="K46" s="420"/>
      <c r="L46" s="420"/>
      <c r="M46" s="420"/>
      <c r="N46" s="420"/>
    </row>
    <row r="47" spans="1:14" s="421" customFormat="1" ht="23.25">
      <c r="A47" s="432"/>
      <c r="B47" s="426" t="s">
        <v>863</v>
      </c>
      <c r="C47" s="462">
        <f>SUM(C24:C46)</f>
        <v>1585</v>
      </c>
      <c r="D47" s="360"/>
      <c r="E47" s="420"/>
      <c r="F47" s="420"/>
      <c r="G47" s="420"/>
      <c r="H47" s="420"/>
      <c r="I47" s="420"/>
      <c r="J47" s="420"/>
      <c r="K47" s="420"/>
      <c r="L47" s="420"/>
      <c r="M47" s="420"/>
      <c r="N47" s="420"/>
    </row>
    <row r="48" spans="1:14" s="220" customFormat="1" ht="19.5" hidden="1">
      <c r="A48" s="386"/>
      <c r="B48" s="387"/>
      <c r="C48" s="437"/>
      <c r="D48" s="393"/>
    </row>
    <row r="49" spans="1:14" s="220" customFormat="1" ht="19.5" hidden="1">
      <c r="A49" s="394"/>
      <c r="C49" s="321"/>
      <c r="D49" s="395"/>
    </row>
    <row r="50" spans="1:14" s="220" customFormat="1" ht="19.5" hidden="1">
      <c r="A50" s="394"/>
      <c r="C50" s="321"/>
      <c r="D50" s="395"/>
    </row>
    <row r="51" spans="1:14" s="220" customFormat="1" ht="19.5" hidden="1">
      <c r="A51" s="394"/>
      <c r="B51" s="258" t="s">
        <v>750</v>
      </c>
      <c r="C51" s="322"/>
      <c r="D51" s="396"/>
    </row>
    <row r="52" spans="1:14" s="220" customFormat="1" ht="19.5" hidden="1">
      <c r="A52" s="397"/>
      <c r="B52" s="398" t="s">
        <v>751</v>
      </c>
      <c r="C52" s="402"/>
      <c r="D52" s="404"/>
    </row>
    <row r="53" spans="1:14" s="220" customFormat="1" ht="19.5">
      <c r="C53" s="323"/>
    </row>
    <row r="54" spans="1:14" s="220" customFormat="1" ht="19.5">
      <c r="C54" s="323"/>
    </row>
    <row r="55" spans="1:14" s="220" customFormat="1" ht="19.5">
      <c r="C55" s="323"/>
    </row>
    <row r="56" spans="1:14" s="220" customFormat="1" ht="19.5">
      <c r="C56" s="323"/>
    </row>
    <row r="57" spans="1:14" ht="19.5">
      <c r="C57" s="323"/>
      <c r="D57" s="220"/>
      <c r="E57" s="220"/>
      <c r="F57" s="220"/>
      <c r="G57" s="220"/>
      <c r="H57" s="220"/>
      <c r="I57" s="220"/>
      <c r="J57" s="220"/>
      <c r="K57" s="220"/>
      <c r="L57" s="220"/>
      <c r="M57" s="220"/>
      <c r="N57" s="220"/>
    </row>
    <row r="58" spans="1:14" ht="19.5">
      <c r="C58" s="323"/>
      <c r="D58" s="220"/>
      <c r="E58" s="220"/>
      <c r="F58" s="220"/>
      <c r="G58" s="220"/>
      <c r="H58" s="220"/>
      <c r="I58" s="220"/>
      <c r="J58" s="220"/>
      <c r="K58" s="220"/>
      <c r="L58" s="220"/>
      <c r="M58" s="220"/>
      <c r="N58" s="220"/>
    </row>
    <row r="59" spans="1:14" ht="19.5">
      <c r="C59" s="323"/>
      <c r="D59" s="220"/>
      <c r="E59" s="220"/>
      <c r="F59" s="220"/>
      <c r="G59" s="220"/>
      <c r="H59" s="220"/>
      <c r="I59" s="220"/>
      <c r="J59" s="220"/>
      <c r="K59" s="220"/>
      <c r="L59" s="220"/>
      <c r="M59" s="220"/>
      <c r="N59" s="220"/>
    </row>
    <row r="60" spans="1:14" ht="19.5">
      <c r="C60" s="323"/>
      <c r="D60" s="220"/>
      <c r="E60" s="220"/>
      <c r="F60" s="220"/>
      <c r="G60" s="220"/>
      <c r="H60" s="220"/>
      <c r="I60" s="220"/>
      <c r="J60" s="220"/>
      <c r="K60" s="220"/>
      <c r="L60" s="220"/>
      <c r="M60" s="220"/>
      <c r="N60" s="220"/>
    </row>
    <row r="61" spans="1:14" ht="19.5">
      <c r="C61" s="323"/>
      <c r="D61" s="220"/>
      <c r="E61" s="220"/>
      <c r="F61" s="220"/>
      <c r="G61" s="220"/>
      <c r="H61" s="220"/>
      <c r="I61" s="220"/>
      <c r="J61" s="220"/>
      <c r="K61" s="220"/>
      <c r="L61" s="220"/>
      <c r="M61" s="220"/>
      <c r="N61" s="220"/>
    </row>
    <row r="62" spans="1:14" ht="19.5">
      <c r="C62" s="323"/>
      <c r="D62" s="220"/>
      <c r="E62" s="220"/>
      <c r="F62" s="220"/>
      <c r="G62" s="220"/>
      <c r="H62" s="220"/>
      <c r="I62" s="220"/>
      <c r="J62" s="220"/>
      <c r="K62" s="220"/>
      <c r="L62" s="220"/>
      <c r="M62" s="220"/>
      <c r="N62" s="220"/>
    </row>
    <row r="63" spans="1:14" ht="19.5">
      <c r="C63" s="323"/>
      <c r="D63" s="220"/>
      <c r="E63" s="220"/>
      <c r="F63" s="220"/>
      <c r="G63" s="220"/>
      <c r="H63" s="220"/>
      <c r="I63" s="220"/>
      <c r="J63" s="220"/>
      <c r="K63" s="220"/>
      <c r="L63" s="220"/>
      <c r="M63" s="220"/>
      <c r="N63" s="220"/>
    </row>
    <row r="64" spans="1:14" ht="19.5">
      <c r="C64" s="323"/>
      <c r="D64" s="220"/>
      <c r="E64" s="220"/>
      <c r="F64" s="220"/>
      <c r="G64" s="220"/>
      <c r="H64" s="220"/>
      <c r="I64" s="220"/>
      <c r="J64" s="220"/>
      <c r="K64" s="220"/>
      <c r="L64" s="220"/>
      <c r="M64" s="220"/>
      <c r="N64" s="220"/>
    </row>
    <row r="65" spans="3:14" ht="19.5">
      <c r="C65" s="323"/>
      <c r="D65" s="220"/>
      <c r="E65" s="220"/>
      <c r="F65" s="220"/>
      <c r="G65" s="220"/>
      <c r="H65" s="220"/>
      <c r="I65" s="220"/>
      <c r="J65" s="220"/>
      <c r="K65" s="220"/>
      <c r="L65" s="220"/>
      <c r="M65" s="220"/>
      <c r="N65" s="220"/>
    </row>
    <row r="66" spans="3:14" ht="19.5">
      <c r="C66" s="323"/>
      <c r="D66" s="220"/>
      <c r="E66" s="220"/>
      <c r="F66" s="220"/>
      <c r="G66" s="220"/>
      <c r="H66" s="220"/>
      <c r="I66" s="220"/>
      <c r="J66" s="220"/>
      <c r="K66" s="220"/>
      <c r="L66" s="220"/>
      <c r="M66" s="220"/>
      <c r="N66" s="220"/>
    </row>
    <row r="67" spans="3:14" ht="19.5">
      <c r="C67" s="323"/>
      <c r="D67" s="220"/>
      <c r="E67" s="220"/>
      <c r="F67" s="220"/>
      <c r="G67" s="220"/>
      <c r="H67" s="220"/>
      <c r="I67" s="220"/>
      <c r="J67" s="220"/>
      <c r="K67" s="220"/>
      <c r="L67" s="220"/>
      <c r="M67" s="220"/>
      <c r="N67" s="220"/>
    </row>
    <row r="68" spans="3:14" ht="19.5">
      <c r="C68" s="323"/>
      <c r="D68" s="220"/>
      <c r="E68" s="220"/>
      <c r="F68" s="220"/>
      <c r="G68" s="220"/>
      <c r="H68" s="220"/>
      <c r="I68" s="220"/>
      <c r="J68" s="220"/>
      <c r="K68" s="220"/>
      <c r="L68" s="220"/>
      <c r="M68" s="220"/>
      <c r="N68" s="220"/>
    </row>
    <row r="69" spans="3:14" ht="19.5">
      <c r="C69" s="323"/>
      <c r="D69" s="220"/>
      <c r="E69" s="220"/>
      <c r="F69" s="220"/>
      <c r="G69" s="220"/>
      <c r="H69" s="220"/>
      <c r="I69" s="220"/>
      <c r="J69" s="220"/>
      <c r="K69" s="220"/>
      <c r="L69" s="220"/>
      <c r="M69" s="220"/>
      <c r="N69" s="220"/>
    </row>
    <row r="70" spans="3:14" ht="19.5">
      <c r="C70" s="323"/>
      <c r="D70" s="220"/>
      <c r="E70" s="220"/>
      <c r="F70" s="220"/>
      <c r="G70" s="220"/>
      <c r="H70" s="220"/>
      <c r="I70" s="220"/>
      <c r="J70" s="220"/>
      <c r="K70" s="220"/>
      <c r="L70" s="220"/>
      <c r="M70" s="220"/>
      <c r="N70" s="220"/>
    </row>
    <row r="71" spans="3:14" ht="19.5">
      <c r="C71" s="323"/>
      <c r="D71" s="220"/>
      <c r="E71" s="220"/>
      <c r="F71" s="220"/>
      <c r="G71" s="220"/>
      <c r="H71" s="220"/>
      <c r="I71" s="220"/>
      <c r="J71" s="220"/>
      <c r="K71" s="220"/>
      <c r="L71" s="220"/>
      <c r="M71" s="220"/>
      <c r="N71" s="220"/>
    </row>
    <row r="72" spans="3:14" ht="19.5">
      <c r="C72" s="323"/>
      <c r="D72" s="220"/>
      <c r="E72" s="220"/>
      <c r="F72" s="220"/>
      <c r="G72" s="220"/>
      <c r="H72" s="220"/>
      <c r="I72" s="220"/>
      <c r="J72" s="220"/>
      <c r="K72" s="220"/>
      <c r="L72" s="220"/>
      <c r="M72" s="220"/>
      <c r="N72" s="220"/>
    </row>
    <row r="73" spans="3:14" ht="19.5">
      <c r="C73" s="323"/>
      <c r="D73" s="220"/>
      <c r="E73" s="220"/>
      <c r="F73" s="220"/>
      <c r="G73" s="220"/>
      <c r="H73" s="220"/>
      <c r="I73" s="220"/>
      <c r="J73" s="220"/>
      <c r="K73" s="220"/>
      <c r="L73" s="220"/>
      <c r="M73" s="220"/>
      <c r="N73" s="220"/>
    </row>
    <row r="74" spans="3:14" ht="19.5">
      <c r="C74" s="323"/>
      <c r="D74" s="220"/>
      <c r="E74" s="220"/>
      <c r="F74" s="220"/>
      <c r="G74" s="220"/>
      <c r="H74" s="220"/>
      <c r="I74" s="220"/>
      <c r="J74" s="220"/>
      <c r="K74" s="220"/>
      <c r="L74" s="220"/>
      <c r="M74" s="220"/>
      <c r="N74" s="220"/>
    </row>
    <row r="75" spans="3:14" ht="19.5">
      <c r="C75" s="323"/>
      <c r="D75" s="220"/>
      <c r="E75" s="220"/>
      <c r="F75" s="220"/>
      <c r="G75" s="220"/>
      <c r="H75" s="220"/>
      <c r="I75" s="220"/>
      <c r="J75" s="220"/>
      <c r="K75" s="220"/>
      <c r="L75" s="220"/>
      <c r="M75" s="220"/>
      <c r="N75" s="220"/>
    </row>
    <row r="76" spans="3:14" ht="19.5">
      <c r="C76" s="323"/>
      <c r="D76" s="220"/>
      <c r="E76" s="220"/>
      <c r="F76" s="220"/>
      <c r="G76" s="220"/>
      <c r="H76" s="220"/>
      <c r="I76" s="220"/>
      <c r="J76" s="220"/>
      <c r="K76" s="220"/>
      <c r="L76" s="220"/>
      <c r="M76" s="220"/>
      <c r="N76" s="220"/>
    </row>
  </sheetData>
  <mergeCells count="8">
    <mergeCell ref="D19:D20"/>
    <mergeCell ref="A22:B22"/>
    <mergeCell ref="A1:D1"/>
    <mergeCell ref="A2:D2"/>
    <mergeCell ref="A3:D3"/>
    <mergeCell ref="A4:D4"/>
    <mergeCell ref="A19:A20"/>
    <mergeCell ref="B19:B20"/>
  </mergeCells>
  <printOptions horizontalCentered="1"/>
  <pageMargins left="0.3" right="0.2" top="0.25" bottom="0.2" header="0.2" footer="0.3"/>
  <pageSetup paperSize="9" scale="77" orientation="portrait" horizontalDpi="300" verticalDpi="300" r:id="rId1"/>
  <headerFooter>
    <oddFooter xml:space="preserve">&amp;Lयोजना शाखा प्रमुख&amp;Cआर्थिक प्रशासन शाखा प्रमुख&amp;Rकार्यालय प्रमुख </oddFooter>
  </headerFooter>
  <rowBreaks count="1" manualBreakCount="1">
    <brk id="40"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29</vt:i4>
      </vt:variant>
    </vt:vector>
  </HeadingPairs>
  <TitlesOfParts>
    <vt:vector size="50" baseType="lpstr">
      <vt:lpstr>एकिकृत बिवरण</vt:lpstr>
      <vt:lpstr>337001204</vt:lpstr>
      <vt:lpstr>337030114</vt:lpstr>
      <vt:lpstr>वार्षिक प्रगती प्रदेश ०७६। ०७७</vt:lpstr>
      <vt:lpstr>वार्षिक प्रगती संघ </vt:lpstr>
      <vt:lpstr>तेश्रो प्रगती संघ</vt:lpstr>
      <vt:lpstr>1st qtr progress</vt:lpstr>
      <vt:lpstr>1st qtr progress (Final)</vt:lpstr>
      <vt:lpstr>2nd qtr progress</vt:lpstr>
      <vt:lpstr>3rd and Final Progress  (MIP)</vt:lpstr>
      <vt:lpstr>3rd and Final Progress  (NITP)</vt:lpstr>
      <vt:lpstr>3rd and Final Progress  (Rpair)</vt:lpstr>
      <vt:lpstr>3rd and Final Progress  (Nadi)</vt:lpstr>
      <vt:lpstr>3rd and Final Progress  (Pahir)</vt:lpstr>
      <vt:lpstr>Work order </vt:lpstr>
      <vt:lpstr>4th Trimester Progress(Pradesh </vt:lpstr>
      <vt:lpstr>4th Trimester Progress(Sangh)</vt:lpstr>
      <vt:lpstr>Sheet2</vt:lpstr>
      <vt:lpstr>Sheet1</vt:lpstr>
      <vt:lpstr>2nd Trimester Progress(Prad (2)</vt:lpstr>
      <vt:lpstr>2nd Trimester Progress(Sang (2)</vt:lpstr>
      <vt:lpstr>'1st qtr progress'!Print_Area</vt:lpstr>
      <vt:lpstr>'1st qtr progress (Final)'!Print_Area</vt:lpstr>
      <vt:lpstr>'2nd qtr progress'!Print_Area</vt:lpstr>
      <vt:lpstr>'2nd Trimester Progress(Prad (2)'!Print_Area</vt:lpstr>
      <vt:lpstr>'2nd Trimester Progress(Sang (2)'!Print_Area</vt:lpstr>
      <vt:lpstr>'3rd and Final Progress  (MIP)'!Print_Area</vt:lpstr>
      <vt:lpstr>'3rd and Final Progress  (Nadi)'!Print_Area</vt:lpstr>
      <vt:lpstr>'3rd and Final Progress  (NITP)'!Print_Area</vt:lpstr>
      <vt:lpstr>'3rd and Final Progress  (Pahir)'!Print_Area</vt:lpstr>
      <vt:lpstr>'3rd and Final Progress  (Rpair)'!Print_Area</vt:lpstr>
      <vt:lpstr>'4th Trimester Progress(Pradesh '!Print_Area</vt:lpstr>
      <vt:lpstr>'4th Trimester Progress(Sangh)'!Print_Area</vt:lpstr>
      <vt:lpstr>'Work order '!Print_Area</vt:lpstr>
      <vt:lpstr>'वार्षिक प्रगती प्रदेश ०७६। ०७७'!Print_Area</vt:lpstr>
      <vt:lpstr>'1st qtr progress'!Print_Titles</vt:lpstr>
      <vt:lpstr>'1st qtr progress (Final)'!Print_Titles</vt:lpstr>
      <vt:lpstr>'2nd qtr progress'!Print_Titles</vt:lpstr>
      <vt:lpstr>'2nd Trimester Progress(Prad (2)'!Print_Titles</vt:lpstr>
      <vt:lpstr>'2nd Trimester Progress(Sang (2)'!Print_Titles</vt:lpstr>
      <vt:lpstr>'337001204'!Print_Titles</vt:lpstr>
      <vt:lpstr>'3rd and Final Progress  (MIP)'!Print_Titles</vt:lpstr>
      <vt:lpstr>'3rd and Final Progress  (Nadi)'!Print_Titles</vt:lpstr>
      <vt:lpstr>'3rd and Final Progress  (NITP)'!Print_Titles</vt:lpstr>
      <vt:lpstr>'3rd and Final Progress  (Pahir)'!Print_Titles</vt:lpstr>
      <vt:lpstr>'3rd and Final Progress  (Rpair)'!Print_Titles</vt:lpstr>
      <vt:lpstr>'4th Trimester Progress(Pradesh '!Print_Titles</vt:lpstr>
      <vt:lpstr>'4th Trimester Progress(Sangh)'!Print_Titles</vt:lpstr>
      <vt:lpstr>'वार्षिक प्रगती प्रदेश ०७६। ०७७'!Print_Titles</vt:lpstr>
      <vt:lpstr>'वार्षिक प्रगती संघ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2023-07-23T11:49:56Z</cp:lastPrinted>
  <dcterms:created xsi:type="dcterms:W3CDTF">1996-10-14T23:33:28Z</dcterms:created>
  <dcterms:modified xsi:type="dcterms:W3CDTF">2023-07-23T11:52:45Z</dcterms:modified>
</cp:coreProperties>
</file>